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Bud4\мои документы\СЕССИЯ\Сессия 2024\31.05.2024 №104\"/>
    </mc:Choice>
  </mc:AlternateContent>
  <bookViews>
    <workbookView xWindow="120" yWindow="150" windowWidth="11820" windowHeight="5760" tabRatio="599" activeTab="1"/>
  </bookViews>
  <sheets>
    <sheet name="РП" sheetId="4" r:id="rId1"/>
    <sheet name="Ведомственная структура" sheetId="3" r:id="rId2"/>
    <sheet name="программы" sheetId="5" r:id="rId3"/>
  </sheets>
  <definedNames>
    <definedName name="_xlnm.Print_Area" localSheetId="1">'Ведомственная структура'!$A$1:$AB$859</definedName>
    <definedName name="_xlnm.Print_Area" localSheetId="2">программы!$A$1:$Z$606</definedName>
    <definedName name="_xlnm.Print_Area" localSheetId="0">РП!$A$1:$T$69</definedName>
  </definedNames>
  <calcPr calcId="162913"/>
</workbook>
</file>

<file path=xl/calcChain.xml><?xml version="1.0" encoding="utf-8"?>
<calcChain xmlns="http://schemas.openxmlformats.org/spreadsheetml/2006/main">
  <c r="S409" i="5" l="1"/>
  <c r="T409" i="5"/>
  <c r="U409" i="5"/>
  <c r="V409" i="5"/>
  <c r="W409" i="5"/>
  <c r="X409" i="5"/>
  <c r="Y409" i="5"/>
  <c r="Z409" i="5"/>
  <c r="R409" i="5"/>
  <c r="W411" i="5"/>
  <c r="Z412" i="5"/>
  <c r="W412" i="5"/>
  <c r="R412" i="5"/>
  <c r="Y676" i="3"/>
  <c r="Y678" i="3"/>
  <c r="Y679" i="3"/>
  <c r="W28" i="5" l="1"/>
  <c r="Y720" i="3" l="1"/>
  <c r="T68" i="4" l="1"/>
  <c r="Z605" i="5"/>
  <c r="AB857" i="3"/>
  <c r="Z553" i="5" l="1"/>
  <c r="W553" i="5"/>
  <c r="R553" i="5"/>
  <c r="R106" i="5" l="1"/>
  <c r="Q273" i="5"/>
  <c r="I66" i="4"/>
  <c r="J66" i="4"/>
  <c r="N66" i="4"/>
  <c r="O66" i="4"/>
  <c r="I67" i="4"/>
  <c r="J67" i="4"/>
  <c r="N67" i="4"/>
  <c r="O67" i="4"/>
  <c r="H66" i="4"/>
  <c r="H67" i="4"/>
  <c r="O516" i="5"/>
  <c r="P516" i="5"/>
  <c r="R516" i="5"/>
  <c r="X516" i="5"/>
  <c r="Z552" i="5"/>
  <c r="Z551" i="5" s="1"/>
  <c r="Z516" i="5" s="1"/>
  <c r="R552" i="5"/>
  <c r="R551" i="5" s="1"/>
  <c r="Y552" i="5"/>
  <c r="Y551" i="5" s="1"/>
  <c r="Y516" i="5" s="1"/>
  <c r="X552" i="5"/>
  <c r="W552" i="5"/>
  <c r="W551" i="5" s="1"/>
  <c r="W516" i="5" s="1"/>
  <c r="V552" i="5"/>
  <c r="S552" i="5"/>
  <c r="S551" i="5" s="1"/>
  <c r="S516" i="5" s="1"/>
  <c r="Q552" i="5"/>
  <c r="Q551" i="5" s="1"/>
  <c r="Q516" i="5" s="1"/>
  <c r="N552" i="5"/>
  <c r="N551" i="5" s="1"/>
  <c r="N516" i="5" s="1"/>
  <c r="X551" i="5"/>
  <c r="V551" i="5"/>
  <c r="V516" i="5" s="1"/>
  <c r="S163" i="3" l="1"/>
  <c r="AB522" i="3"/>
  <c r="AB521" i="3" s="1"/>
  <c r="AB520" i="3" s="1"/>
  <c r="AB519" i="3" s="1"/>
  <c r="AB518" i="3" s="1"/>
  <c r="Y522" i="3"/>
  <c r="Y521" i="3" s="1"/>
  <c r="Y520" i="3" s="1"/>
  <c r="Y519" i="3" s="1"/>
  <c r="Y518" i="3" s="1"/>
  <c r="T522" i="3"/>
  <c r="AA521" i="3"/>
  <c r="AA520" i="3" s="1"/>
  <c r="AA519" i="3" s="1"/>
  <c r="AA518" i="3" s="1"/>
  <c r="Z521" i="3"/>
  <c r="Z520" i="3" s="1"/>
  <c r="Z519" i="3" s="1"/>
  <c r="Z518" i="3" s="1"/>
  <c r="X521" i="3"/>
  <c r="X520" i="3" s="1"/>
  <c r="X519" i="3" s="1"/>
  <c r="X518" i="3" s="1"/>
  <c r="U521" i="3"/>
  <c r="U520" i="3" s="1"/>
  <c r="U519" i="3" s="1"/>
  <c r="U518" i="3" s="1"/>
  <c r="T521" i="3"/>
  <c r="T520" i="3" s="1"/>
  <c r="T519" i="3" s="1"/>
  <c r="T518" i="3" s="1"/>
  <c r="S521" i="3"/>
  <c r="S520" i="3" s="1"/>
  <c r="S519" i="3" s="1"/>
  <c r="S518" i="3" s="1"/>
  <c r="P517" i="3"/>
  <c r="P518" i="3"/>
  <c r="P519" i="3"/>
  <c r="P520" i="3"/>
  <c r="P521" i="3"/>
  <c r="T591" i="3"/>
  <c r="R226" i="5"/>
  <c r="U517" i="3" l="1"/>
  <c r="M66" i="4" s="1"/>
  <c r="M67" i="4"/>
  <c r="Z517" i="3"/>
  <c r="R66" i="4" s="1"/>
  <c r="R67" i="4"/>
  <c r="AB517" i="3"/>
  <c r="T67" i="4"/>
  <c r="AA517" i="3"/>
  <c r="S67" i="4"/>
  <c r="X517" i="3"/>
  <c r="P67" i="4"/>
  <c r="Y517" i="3"/>
  <c r="Q67" i="4"/>
  <c r="S517" i="3"/>
  <c r="K67" i="4"/>
  <c r="T517" i="3"/>
  <c r="L67" i="4"/>
  <c r="R541" i="5"/>
  <c r="Q543" i="5"/>
  <c r="Q548" i="5"/>
  <c r="S311" i="3"/>
  <c r="S316" i="3"/>
  <c r="O480" i="5"/>
  <c r="P480" i="5"/>
  <c r="Q480" i="5"/>
  <c r="R480" i="5"/>
  <c r="S480" i="5"/>
  <c r="T480" i="5"/>
  <c r="U480" i="5"/>
  <c r="V480" i="5"/>
  <c r="W480" i="5"/>
  <c r="X480" i="5"/>
  <c r="Y480" i="5"/>
  <c r="Z480" i="5"/>
  <c r="N480" i="5"/>
  <c r="R481" i="5"/>
  <c r="R482" i="5"/>
  <c r="Q479" i="5"/>
  <c r="AB567" i="3"/>
  <c r="AA567" i="3"/>
  <c r="Z567" i="3"/>
  <c r="Y567" i="3"/>
  <c r="X567" i="3"/>
  <c r="U567" i="3"/>
  <c r="S567" i="3"/>
  <c r="T568" i="3"/>
  <c r="T567" i="3" s="1"/>
  <c r="P567" i="3"/>
  <c r="S564" i="3"/>
  <c r="S66" i="4" l="1"/>
  <c r="T66" i="4"/>
  <c r="Q66" i="4"/>
  <c r="P66" i="4"/>
  <c r="L66" i="4"/>
  <c r="K66" i="4"/>
  <c r="Z151" i="5"/>
  <c r="Y151" i="5"/>
  <c r="V151" i="5"/>
  <c r="W151" i="5"/>
  <c r="Z148" i="5"/>
  <c r="W148" i="5"/>
  <c r="X625" i="3"/>
  <c r="Y625" i="3" s="1"/>
  <c r="AA625" i="3"/>
  <c r="AB625" i="3"/>
  <c r="AB622" i="3"/>
  <c r="Q339" i="5" l="1"/>
  <c r="Q334" i="5"/>
  <c r="S582" i="3"/>
  <c r="R207" i="5" l="1"/>
  <c r="Y205" i="5"/>
  <c r="Z205" i="5"/>
  <c r="Y262" i="3"/>
  <c r="Y261" i="3" s="1"/>
  <c r="Y260" i="3" s="1"/>
  <c r="T262" i="3"/>
  <c r="T261" i="3" s="1"/>
  <c r="T260" i="3" s="1"/>
  <c r="AB261" i="3"/>
  <c r="AB260" i="3" s="1"/>
  <c r="AA261" i="3"/>
  <c r="AA260" i="3" s="1"/>
  <c r="Z261" i="3"/>
  <c r="Z260" i="3" s="1"/>
  <c r="X261" i="3"/>
  <c r="W261" i="3"/>
  <c r="W260" i="3" s="1"/>
  <c r="V261" i="3"/>
  <c r="V260" i="3" s="1"/>
  <c r="U261" i="3"/>
  <c r="U260" i="3" s="1"/>
  <c r="S261" i="3"/>
  <c r="S260" i="3" s="1"/>
  <c r="R261" i="3"/>
  <c r="R260" i="3" s="1"/>
  <c r="Q261" i="3"/>
  <c r="Q260" i="3" s="1"/>
  <c r="P261" i="3"/>
  <c r="P260" i="3" s="1"/>
  <c r="O261" i="3"/>
  <c r="O260" i="3" s="1"/>
  <c r="N261" i="3"/>
  <c r="N260" i="3" s="1"/>
  <c r="X260" i="3"/>
  <c r="AB253" i="3"/>
  <c r="Y253" i="3"/>
  <c r="AB252" i="3"/>
  <c r="AA252" i="3"/>
  <c r="Z252" i="3"/>
  <c r="Y252" i="3"/>
  <c r="X252" i="3"/>
  <c r="W252" i="3"/>
  <c r="V252" i="3"/>
  <c r="U252" i="3"/>
  <c r="T252" i="3"/>
  <c r="S252" i="3"/>
  <c r="S249" i="3" s="1"/>
  <c r="R252" i="3"/>
  <c r="Q252" i="3"/>
  <c r="Q249" i="3" s="1"/>
  <c r="P252" i="3"/>
  <c r="O252" i="3"/>
  <c r="O249" i="3" s="1"/>
  <c r="N252" i="3"/>
  <c r="M252" i="3"/>
  <c r="M249" i="3" s="1"/>
  <c r="L252" i="3"/>
  <c r="AB251" i="3"/>
  <c r="Y251" i="3"/>
  <c r="AB250" i="3"/>
  <c r="AA250" i="3"/>
  <c r="Z250" i="3"/>
  <c r="Y250" i="3"/>
  <c r="X250" i="3"/>
  <c r="X249" i="3" s="1"/>
  <c r="W250" i="3"/>
  <c r="W249" i="3" s="1"/>
  <c r="V250" i="3"/>
  <c r="V249" i="3" s="1"/>
  <c r="U250" i="3"/>
  <c r="T250" i="3"/>
  <c r="T249" i="3" s="1"/>
  <c r="S250" i="3"/>
  <c r="R250" i="3"/>
  <c r="R249" i="3" s="1"/>
  <c r="Q250" i="3"/>
  <c r="P250" i="3"/>
  <c r="P249" i="3" s="1"/>
  <c r="O250" i="3"/>
  <c r="N250" i="3"/>
  <c r="N249" i="3" s="1"/>
  <c r="M250" i="3"/>
  <c r="L250" i="3"/>
  <c r="L249" i="3" s="1"/>
  <c r="Y672" i="3"/>
  <c r="Z249" i="3" l="1"/>
  <c r="AA249" i="3"/>
  <c r="AB249" i="3"/>
  <c r="U249" i="3"/>
  <c r="Y249" i="3"/>
  <c r="AB661" i="3"/>
  <c r="AB659" i="3"/>
  <c r="Y661" i="3"/>
  <c r="Y659" i="3"/>
  <c r="Q179" i="5" l="1"/>
  <c r="R176" i="5"/>
  <c r="S710" i="3"/>
  <c r="T707" i="3"/>
  <c r="R209" i="5" l="1"/>
  <c r="Z208" i="5"/>
  <c r="Y208" i="5"/>
  <c r="X208" i="5"/>
  <c r="W208" i="5"/>
  <c r="V208" i="5"/>
  <c r="S208" i="5"/>
  <c r="R208" i="5"/>
  <c r="Q208" i="5"/>
  <c r="N208" i="5"/>
  <c r="AB838" i="3" l="1"/>
  <c r="AA838" i="3"/>
  <c r="Z838" i="3"/>
  <c r="T839" i="3"/>
  <c r="Y838" i="3"/>
  <c r="X838" i="3"/>
  <c r="U838" i="3"/>
  <c r="T838" i="3"/>
  <c r="S838" i="3"/>
  <c r="P838" i="3"/>
  <c r="S160" i="3" l="1"/>
  <c r="S92" i="3"/>
  <c r="S47" i="3"/>
  <c r="Q482" i="5" l="1"/>
  <c r="Q477" i="5"/>
  <c r="S218" i="3"/>
  <c r="S214" i="3"/>
  <c r="S216" i="3"/>
  <c r="S351" i="3" l="1"/>
  <c r="S363" i="3"/>
  <c r="Q215" i="5"/>
  <c r="Q212" i="5"/>
  <c r="Q423" i="5" l="1"/>
  <c r="S425" i="3"/>
  <c r="R241" i="5" l="1"/>
  <c r="T129" i="3"/>
  <c r="Q243" i="5"/>
  <c r="S131" i="3"/>
  <c r="S318" i="3" l="1"/>
  <c r="Q550" i="5"/>
  <c r="Q52" i="5" l="1"/>
  <c r="S735" i="3"/>
  <c r="T710" i="3" l="1"/>
  <c r="L710" i="3"/>
  <c r="L709" i="3" s="1"/>
  <c r="L708" i="3" s="1"/>
  <c r="AB709" i="3"/>
  <c r="AA709" i="3"/>
  <c r="AA708" i="3" s="1"/>
  <c r="Z709" i="3"/>
  <c r="Z708" i="3" s="1"/>
  <c r="Y709" i="3"/>
  <c r="Y708" i="3" s="1"/>
  <c r="X709" i="3"/>
  <c r="W709" i="3"/>
  <c r="W708" i="3" s="1"/>
  <c r="V709" i="3"/>
  <c r="V708" i="3" s="1"/>
  <c r="U709" i="3"/>
  <c r="U708" i="3" s="1"/>
  <c r="T709" i="3"/>
  <c r="S709" i="3"/>
  <c r="S708" i="3" s="1"/>
  <c r="R709" i="3"/>
  <c r="R708" i="3" s="1"/>
  <c r="Q709" i="3"/>
  <c r="Q708" i="3" s="1"/>
  <c r="P709" i="3"/>
  <c r="O709" i="3"/>
  <c r="O708" i="3" s="1"/>
  <c r="N709" i="3"/>
  <c r="N708" i="3" s="1"/>
  <c r="M709" i="3"/>
  <c r="M708" i="3" s="1"/>
  <c r="AB708" i="3"/>
  <c r="X708" i="3"/>
  <c r="T708" i="3"/>
  <c r="P708" i="3"/>
  <c r="R179" i="5"/>
  <c r="Z173" i="5"/>
  <c r="Z177" i="5"/>
  <c r="Z178" i="5"/>
  <c r="Y177" i="5"/>
  <c r="J178" i="5"/>
  <c r="J177" i="5" s="1"/>
  <c r="K178" i="5"/>
  <c r="K177" i="5" s="1"/>
  <c r="L178" i="5"/>
  <c r="L177" i="5" s="1"/>
  <c r="M178" i="5"/>
  <c r="M177" i="5" s="1"/>
  <c r="N178" i="5"/>
  <c r="O178" i="5"/>
  <c r="O177" i="5" s="1"/>
  <c r="P178" i="5"/>
  <c r="P177" i="5" s="1"/>
  <c r="Q178" i="5"/>
  <c r="Q177" i="5" s="1"/>
  <c r="S178" i="5"/>
  <c r="S177" i="5" s="1"/>
  <c r="T178" i="5"/>
  <c r="T177" i="5" s="1"/>
  <c r="U178" i="5"/>
  <c r="U177" i="5" s="1"/>
  <c r="V178" i="5"/>
  <c r="V177" i="5" s="1"/>
  <c r="W178" i="5"/>
  <c r="W177" i="5" s="1"/>
  <c r="X178" i="5"/>
  <c r="X177" i="5" s="1"/>
  <c r="Y178" i="5"/>
  <c r="J179" i="5"/>
  <c r="R178" i="5" l="1"/>
  <c r="R177" i="5" s="1"/>
  <c r="N177" i="5"/>
  <c r="T467" i="3"/>
  <c r="R190" i="5"/>
  <c r="R215" i="5" l="1"/>
  <c r="Z214" i="5"/>
  <c r="Y214" i="5"/>
  <c r="X214" i="5"/>
  <c r="W214" i="5"/>
  <c r="V214" i="5"/>
  <c r="T214" i="5"/>
  <c r="S214" i="5"/>
  <c r="R214" i="5"/>
  <c r="Q214" i="5"/>
  <c r="P214" i="5"/>
  <c r="O214" i="5"/>
  <c r="N214" i="5"/>
  <c r="M214" i="5"/>
  <c r="L214" i="5"/>
  <c r="Z213" i="5"/>
  <c r="Y213" i="5"/>
  <c r="X213" i="5"/>
  <c r="W213" i="5"/>
  <c r="V213" i="5"/>
  <c r="T213" i="5"/>
  <c r="S213" i="5"/>
  <c r="R213" i="5"/>
  <c r="Q213" i="5"/>
  <c r="P213" i="5"/>
  <c r="O213" i="5"/>
  <c r="N213" i="5"/>
  <c r="M213" i="5"/>
  <c r="L213" i="5"/>
  <c r="AB362" i="3"/>
  <c r="AB361" i="3" s="1"/>
  <c r="AA362" i="3"/>
  <c r="AA361" i="3" s="1"/>
  <c r="Z362" i="3"/>
  <c r="Z361" i="3" s="1"/>
  <c r="Y362" i="3"/>
  <c r="Y361" i="3" s="1"/>
  <c r="X362" i="3"/>
  <c r="X361" i="3" s="1"/>
  <c r="T363" i="3"/>
  <c r="T362" i="3" s="1"/>
  <c r="T361" i="3" s="1"/>
  <c r="N362" i="3"/>
  <c r="N361" i="3" s="1"/>
  <c r="O362" i="3"/>
  <c r="O361" i="3" s="1"/>
  <c r="P362" i="3"/>
  <c r="P361" i="3" s="1"/>
  <c r="Q362" i="3"/>
  <c r="Q361" i="3" s="1"/>
  <c r="R362" i="3"/>
  <c r="R361" i="3" s="1"/>
  <c r="S362" i="3"/>
  <c r="S361" i="3" s="1"/>
  <c r="U362" i="3"/>
  <c r="U361" i="3" s="1"/>
  <c r="V362" i="3"/>
  <c r="V361" i="3" s="1"/>
  <c r="S741" i="3" l="1"/>
  <c r="T441" i="3"/>
  <c r="T433" i="3"/>
  <c r="Q60" i="5"/>
  <c r="R163" i="5"/>
  <c r="R161" i="5"/>
  <c r="R158" i="5" l="1"/>
  <c r="AB265" i="3"/>
  <c r="AB264" i="3" s="1"/>
  <c r="AB263" i="3" s="1"/>
  <c r="AA265" i="3"/>
  <c r="Z265" i="3"/>
  <c r="Z264" i="3" s="1"/>
  <c r="Z263" i="3" s="1"/>
  <c r="AA264" i="3"/>
  <c r="AA263" i="3" s="1"/>
  <c r="Y266" i="3"/>
  <c r="Y265" i="3" s="1"/>
  <c r="Y264" i="3" s="1"/>
  <c r="Y263" i="3" s="1"/>
  <c r="X265" i="3"/>
  <c r="W265" i="3"/>
  <c r="W264" i="3" s="1"/>
  <c r="W263" i="3" s="1"/>
  <c r="V265" i="3"/>
  <c r="V264" i="3" s="1"/>
  <c r="V263" i="3" s="1"/>
  <c r="U265" i="3"/>
  <c r="U264" i="3" s="1"/>
  <c r="U263" i="3" s="1"/>
  <c r="X264" i="3"/>
  <c r="X263" i="3" s="1"/>
  <c r="T266" i="3"/>
  <c r="T265" i="3" s="1"/>
  <c r="T264" i="3" s="1"/>
  <c r="T263" i="3" s="1"/>
  <c r="S265" i="3"/>
  <c r="S264" i="3" s="1"/>
  <c r="S263" i="3" s="1"/>
  <c r="R265" i="3"/>
  <c r="R264" i="3" s="1"/>
  <c r="R263" i="3" s="1"/>
  <c r="Q265" i="3"/>
  <c r="Q264" i="3" s="1"/>
  <c r="Q263" i="3" s="1"/>
  <c r="P265" i="3"/>
  <c r="P264" i="3" s="1"/>
  <c r="P263" i="3" s="1"/>
  <c r="O265" i="3"/>
  <c r="O264" i="3" s="1"/>
  <c r="O263" i="3" s="1"/>
  <c r="N265" i="3"/>
  <c r="N264" i="3" s="1"/>
  <c r="N263" i="3" s="1"/>
  <c r="M265" i="3"/>
  <c r="M264" i="3" s="1"/>
  <c r="M263" i="3" s="1"/>
  <c r="L265" i="3"/>
  <c r="L264" i="3" s="1"/>
  <c r="L263" i="3" s="1"/>
  <c r="R282" i="5"/>
  <c r="AB259" i="3" l="1"/>
  <c r="AB258" i="3" s="1"/>
  <c r="AB257" i="3" s="1"/>
  <c r="V259" i="3"/>
  <c r="Y259" i="3"/>
  <c r="Y258" i="3" s="1"/>
  <c r="Y257" i="3" s="1"/>
  <c r="Q259" i="3"/>
  <c r="Q258" i="3" s="1"/>
  <c r="Q257" i="3" s="1"/>
  <c r="T259" i="3"/>
  <c r="T258" i="3" s="1"/>
  <c r="T257" i="3" s="1"/>
  <c r="N259" i="3"/>
  <c r="N258" i="3" s="1"/>
  <c r="N257" i="3" s="1"/>
  <c r="AA258" i="3"/>
  <c r="AA257" i="3" s="1"/>
  <c r="X258" i="3"/>
  <c r="X257" i="3" s="1"/>
  <c r="W258" i="3"/>
  <c r="W257" i="3" s="1"/>
  <c r="V258" i="3"/>
  <c r="V257" i="3" s="1"/>
  <c r="S258" i="3"/>
  <c r="S257" i="3" s="1"/>
  <c r="R258" i="3"/>
  <c r="R257" i="3" s="1"/>
  <c r="O258" i="3"/>
  <c r="O257" i="3" s="1"/>
  <c r="M258" i="3"/>
  <c r="M257" i="3" s="1"/>
  <c r="L258" i="3"/>
  <c r="L257" i="3" s="1"/>
  <c r="AB256" i="3"/>
  <c r="AB255" i="3" s="1"/>
  <c r="AB254" i="3" s="1"/>
  <c r="Y256" i="3"/>
  <c r="Y255" i="3" s="1"/>
  <c r="Y254" i="3" s="1"/>
  <c r="T256" i="3"/>
  <c r="T255" i="3" s="1"/>
  <c r="T254" i="3" s="1"/>
  <c r="AA255" i="3"/>
  <c r="AA254" i="3" s="1"/>
  <c r="Z255" i="3"/>
  <c r="Z254" i="3" s="1"/>
  <c r="X255" i="3"/>
  <c r="X254" i="3" s="1"/>
  <c r="W255" i="3"/>
  <c r="W254" i="3" s="1"/>
  <c r="V255" i="3"/>
  <c r="V254" i="3" s="1"/>
  <c r="U255" i="3"/>
  <c r="U254" i="3" s="1"/>
  <c r="S255" i="3"/>
  <c r="S254" i="3" s="1"/>
  <c r="R255" i="3"/>
  <c r="R254" i="3" s="1"/>
  <c r="Q255" i="3"/>
  <c r="Q254" i="3" s="1"/>
  <c r="O255" i="3"/>
  <c r="O254" i="3" s="1"/>
  <c r="N255" i="3"/>
  <c r="N254" i="3" s="1"/>
  <c r="M255" i="3"/>
  <c r="M254" i="3" s="1"/>
  <c r="L255" i="3"/>
  <c r="L254" i="3" s="1"/>
  <c r="AB666" i="3"/>
  <c r="Y666" i="3"/>
  <c r="Q248" i="3" l="1"/>
  <c r="V248" i="3"/>
  <c r="X248" i="3"/>
  <c r="S248" i="3"/>
  <c r="AA248" i="3"/>
  <c r="Y248" i="3"/>
  <c r="R248" i="3"/>
  <c r="W248" i="3"/>
  <c r="T248" i="3"/>
  <c r="AB248" i="3"/>
  <c r="P255" i="3"/>
  <c r="P254" i="3" s="1"/>
  <c r="P258" i="3"/>
  <c r="P257" i="3" s="1"/>
  <c r="U258" i="3"/>
  <c r="U257" i="3" s="1"/>
  <c r="Z258" i="3"/>
  <c r="Z257" i="3" s="1"/>
  <c r="Z248" i="3" s="1"/>
  <c r="U401" i="5"/>
  <c r="Z400" i="5"/>
  <c r="Y400" i="5"/>
  <c r="X400" i="5"/>
  <c r="W400" i="5"/>
  <c r="V400" i="5"/>
  <c r="U400" i="5"/>
  <c r="T400" i="5"/>
  <c r="S400" i="5"/>
  <c r="R399" i="5"/>
  <c r="R400" i="5"/>
  <c r="R401" i="5"/>
  <c r="Q400" i="5"/>
  <c r="N400" i="5"/>
  <c r="P248" i="3" l="1"/>
  <c r="U248" i="3"/>
  <c r="S59" i="3"/>
  <c r="Z291" i="5" l="1"/>
  <c r="W291" i="5"/>
  <c r="Z290" i="5"/>
  <c r="Y290" i="5"/>
  <c r="X290" i="5"/>
  <c r="V290" i="5"/>
  <c r="T290" i="5"/>
  <c r="S290" i="5"/>
  <c r="Q290" i="5"/>
  <c r="P290" i="5"/>
  <c r="O290" i="5"/>
  <c r="N290" i="5"/>
  <c r="R291" i="5" s="1"/>
  <c r="R290" i="5" s="1"/>
  <c r="R289" i="5" s="1"/>
  <c r="Z289" i="5"/>
  <c r="Y289" i="5"/>
  <c r="X289" i="5"/>
  <c r="V289" i="5"/>
  <c r="T289" i="5"/>
  <c r="S289" i="5"/>
  <c r="Q289" i="5"/>
  <c r="P289" i="5"/>
  <c r="O289" i="5"/>
  <c r="N289" i="5"/>
  <c r="AB62" i="3"/>
  <c r="AB61" i="3" s="1"/>
  <c r="AB60" i="3" s="1"/>
  <c r="Y62" i="3"/>
  <c r="T62" i="3"/>
  <c r="T61" i="3" s="1"/>
  <c r="T60" i="3" s="1"/>
  <c r="AA61" i="3"/>
  <c r="AA60" i="3" s="1"/>
  <c r="Z61" i="3"/>
  <c r="Z60" i="3" s="1"/>
  <c r="Y61" i="3"/>
  <c r="Y60" i="3" s="1"/>
  <c r="X61" i="3"/>
  <c r="X60" i="3" s="1"/>
  <c r="W61" i="3"/>
  <c r="W60" i="3" s="1"/>
  <c r="V61" i="3"/>
  <c r="V60" i="3" s="1"/>
  <c r="U61" i="3"/>
  <c r="U60" i="3" s="1"/>
  <c r="S61" i="3"/>
  <c r="S60" i="3" s="1"/>
  <c r="R61" i="3"/>
  <c r="R60" i="3" s="1"/>
  <c r="Q61" i="3"/>
  <c r="P61" i="3"/>
  <c r="P60" i="3" s="1"/>
  <c r="O61" i="3"/>
  <c r="O60" i="3" s="1"/>
  <c r="N61" i="3"/>
  <c r="N60" i="3" s="1"/>
  <c r="M61" i="3"/>
  <c r="M60" i="3" s="1"/>
  <c r="L61" i="3"/>
  <c r="L60" i="3" s="1"/>
  <c r="Q60" i="3"/>
  <c r="R543" i="5" l="1"/>
  <c r="T311" i="3"/>
  <c r="T309" i="3"/>
  <c r="R273" i="5" l="1"/>
  <c r="R319" i="5"/>
  <c r="R318" i="5" s="1"/>
  <c r="R317" i="5" s="1"/>
  <c r="Q319" i="5"/>
  <c r="Z318" i="5"/>
  <c r="Z317" i="5" s="1"/>
  <c r="Y318" i="5"/>
  <c r="Y317" i="5" s="1"/>
  <c r="X318" i="5"/>
  <c r="X317" i="5" s="1"/>
  <c r="W318" i="5"/>
  <c r="W317" i="5" s="1"/>
  <c r="V318" i="5"/>
  <c r="V317" i="5" s="1"/>
  <c r="T318" i="5"/>
  <c r="T317" i="5" s="1"/>
  <c r="S318" i="5"/>
  <c r="Q318" i="5"/>
  <c r="Q317" i="5" s="1"/>
  <c r="P318" i="5"/>
  <c r="P317" i="5" s="1"/>
  <c r="O318" i="5"/>
  <c r="O317" i="5" s="1"/>
  <c r="N318" i="5"/>
  <c r="N317" i="5" s="1"/>
  <c r="S317" i="5"/>
  <c r="S166" i="3"/>
  <c r="S165" i="3" s="1"/>
  <c r="S164" i="3" s="1"/>
  <c r="T163" i="3"/>
  <c r="T166" i="3"/>
  <c r="AB165" i="3"/>
  <c r="AB164" i="3" s="1"/>
  <c r="AA165" i="3"/>
  <c r="Z165" i="3"/>
  <c r="Z164" i="3" s="1"/>
  <c r="Y165" i="3"/>
  <c r="Y164" i="3" s="1"/>
  <c r="X165" i="3"/>
  <c r="X164" i="3" s="1"/>
  <c r="V165" i="3"/>
  <c r="V164" i="3" s="1"/>
  <c r="U165" i="3"/>
  <c r="U164" i="3" s="1"/>
  <c r="T165" i="3"/>
  <c r="T164" i="3" s="1"/>
  <c r="R165" i="3"/>
  <c r="R164" i="3" s="1"/>
  <c r="Q165" i="3"/>
  <c r="Q164" i="3" s="1"/>
  <c r="P165" i="3"/>
  <c r="P164" i="3" s="1"/>
  <c r="AA164" i="3"/>
  <c r="T828" i="3" l="1"/>
  <c r="S553" i="3" l="1"/>
  <c r="T564" i="3"/>
  <c r="U578" i="3"/>
  <c r="U577" i="3" s="1"/>
  <c r="V579" i="3"/>
  <c r="V578" i="3" s="1"/>
  <c r="T579" i="3"/>
  <c r="Q579" i="3"/>
  <c r="Q578" i="3" s="1"/>
  <c r="M579" i="3"/>
  <c r="L579" i="3"/>
  <c r="AB578" i="3"/>
  <c r="AB577" i="3" s="1"/>
  <c r="AA578" i="3"/>
  <c r="Z578" i="3"/>
  <c r="Z577" i="3" s="1"/>
  <c r="Y578" i="3"/>
  <c r="Y577" i="3" s="1"/>
  <c r="X578" i="3"/>
  <c r="W578" i="3"/>
  <c r="T578" i="3"/>
  <c r="T577" i="3" s="1"/>
  <c r="S578" i="3"/>
  <c r="S577" i="3" s="1"/>
  <c r="R578" i="3"/>
  <c r="P578" i="3"/>
  <c r="P577" i="3" s="1"/>
  <c r="O578" i="3"/>
  <c r="N578" i="3"/>
  <c r="M578" i="3"/>
  <c r="L578" i="3"/>
  <c r="R423" i="5" l="1"/>
  <c r="Z573" i="5" l="1"/>
  <c r="Y573" i="5"/>
  <c r="Y572" i="5" s="1"/>
  <c r="Y571" i="5" s="1"/>
  <c r="X573" i="5"/>
  <c r="W573" i="5"/>
  <c r="W572" i="5" s="1"/>
  <c r="W571" i="5" s="1"/>
  <c r="V573" i="5"/>
  <c r="Z572" i="5"/>
  <c r="Z571" i="5" s="1"/>
  <c r="X572" i="5"/>
  <c r="X571" i="5" s="1"/>
  <c r="V572" i="5"/>
  <c r="V571" i="5" s="1"/>
  <c r="R574" i="5"/>
  <c r="R573" i="5" s="1"/>
  <c r="R572" i="5" s="1"/>
  <c r="R571" i="5" s="1"/>
  <c r="T573" i="5"/>
  <c r="S573" i="5"/>
  <c r="Q573" i="5"/>
  <c r="Q572" i="5" s="1"/>
  <c r="Q571" i="5" s="1"/>
  <c r="P573" i="5"/>
  <c r="P572" i="5" s="1"/>
  <c r="P571" i="5" s="1"/>
  <c r="O573" i="5"/>
  <c r="N573" i="5"/>
  <c r="N572" i="5" s="1"/>
  <c r="N571" i="5" s="1"/>
  <c r="M573" i="5"/>
  <c r="L573" i="5"/>
  <c r="T572" i="5"/>
  <c r="S572" i="5"/>
  <c r="O572" i="5"/>
  <c r="M572" i="5"/>
  <c r="L572" i="5"/>
  <c r="T571" i="5"/>
  <c r="S571" i="5"/>
  <c r="O571" i="5"/>
  <c r="M571" i="5"/>
  <c r="L571" i="5"/>
  <c r="AB86" i="3"/>
  <c r="AB85" i="3" s="1"/>
  <c r="AB84" i="3" s="1"/>
  <c r="AA86" i="3"/>
  <c r="AA85" i="3" s="1"/>
  <c r="AA84" i="3" s="1"/>
  <c r="Z86" i="3"/>
  <c r="Z85" i="3" s="1"/>
  <c r="Z84" i="3" s="1"/>
  <c r="Y86" i="3"/>
  <c r="Y85" i="3" s="1"/>
  <c r="Y84" i="3" s="1"/>
  <c r="X86" i="3"/>
  <c r="X85" i="3" s="1"/>
  <c r="X84" i="3" s="1"/>
  <c r="T87" i="3"/>
  <c r="P86" i="3"/>
  <c r="P85" i="3" s="1"/>
  <c r="P84" i="3" s="1"/>
  <c r="V86" i="3"/>
  <c r="U86" i="3"/>
  <c r="U85" i="3" s="1"/>
  <c r="U84" i="3" s="1"/>
  <c r="T86" i="3"/>
  <c r="T85" i="3" s="1"/>
  <c r="T84" i="3" s="1"/>
  <c r="S86" i="3"/>
  <c r="S85" i="3" s="1"/>
  <c r="S84" i="3" s="1"/>
  <c r="R86" i="3"/>
  <c r="R85" i="3" s="1"/>
  <c r="R84" i="3" s="1"/>
  <c r="Q86" i="3"/>
  <c r="Q85" i="3" s="1"/>
  <c r="Q84" i="3" s="1"/>
  <c r="O86" i="3"/>
  <c r="O85" i="3" s="1"/>
  <c r="O84" i="3" s="1"/>
  <c r="N86" i="3"/>
  <c r="N85" i="3" s="1"/>
  <c r="N84" i="3" s="1"/>
  <c r="V85" i="3"/>
  <c r="V84" i="3" s="1"/>
  <c r="Q58" i="5" l="1"/>
  <c r="Q83" i="5"/>
  <c r="Q369" i="5"/>
  <c r="S508" i="3"/>
  <c r="S456" i="3"/>
  <c r="S763" i="3"/>
  <c r="AB217" i="3" l="1"/>
  <c r="AA217" i="3"/>
  <c r="Z217" i="3"/>
  <c r="Y217" i="3"/>
  <c r="X217" i="3"/>
  <c r="U217" i="3"/>
  <c r="AB83" i="3"/>
  <c r="Y83" i="3"/>
  <c r="Z313" i="5"/>
  <c r="W313" i="5"/>
  <c r="Q558" i="5" l="1"/>
  <c r="Q560" i="5"/>
  <c r="S820" i="3"/>
  <c r="S822" i="3"/>
  <c r="Q521" i="5" l="1"/>
  <c r="R369" i="5"/>
  <c r="R550" i="5" l="1"/>
  <c r="R549" i="5" s="1"/>
  <c r="Z549" i="5"/>
  <c r="Y549" i="5"/>
  <c r="X549" i="5"/>
  <c r="W549" i="5"/>
  <c r="V549" i="5"/>
  <c r="S549" i="5"/>
  <c r="Q549" i="5"/>
  <c r="N549" i="5"/>
  <c r="R548" i="5"/>
  <c r="R547" i="5" s="1"/>
  <c r="Z547" i="5"/>
  <c r="Y547" i="5"/>
  <c r="X547" i="5"/>
  <c r="W547" i="5"/>
  <c r="V547" i="5"/>
  <c r="U547" i="5"/>
  <c r="T547" i="5"/>
  <c r="S547" i="5"/>
  <c r="Q547" i="5"/>
  <c r="P547" i="5"/>
  <c r="O547" i="5"/>
  <c r="N547" i="5"/>
  <c r="R546" i="5"/>
  <c r="Z545" i="5"/>
  <c r="Y545" i="5"/>
  <c r="X545" i="5"/>
  <c r="W545" i="5"/>
  <c r="V545" i="5"/>
  <c r="S545" i="5"/>
  <c r="R545" i="5"/>
  <c r="Q545" i="5"/>
  <c r="N545" i="5"/>
  <c r="U544" i="5"/>
  <c r="U516" i="5" s="1"/>
  <c r="T544" i="5"/>
  <c r="T516" i="5" s="1"/>
  <c r="Q544" i="5"/>
  <c r="P544" i="5"/>
  <c r="O544" i="5"/>
  <c r="N544" i="5"/>
  <c r="AB317" i="3"/>
  <c r="AA317" i="3"/>
  <c r="Z317" i="3"/>
  <c r="Y317" i="3"/>
  <c r="X317" i="3"/>
  <c r="AB315" i="3"/>
  <c r="AA315" i="3"/>
  <c r="Z315" i="3"/>
  <c r="Y315" i="3"/>
  <c r="X315" i="3"/>
  <c r="AB313" i="3"/>
  <c r="AA313" i="3"/>
  <c r="Z313" i="3"/>
  <c r="Y313" i="3"/>
  <c r="X313" i="3"/>
  <c r="U317" i="3"/>
  <c r="U313" i="3"/>
  <c r="R339" i="5"/>
  <c r="T582" i="3"/>
  <c r="R544" i="5" l="1"/>
  <c r="T318" i="3"/>
  <c r="T317" i="3" s="1"/>
  <c r="S317" i="3"/>
  <c r="P317" i="3"/>
  <c r="T314" i="3"/>
  <c r="T313" i="3" s="1"/>
  <c r="S313" i="3"/>
  <c r="P313" i="3"/>
  <c r="T316" i="3"/>
  <c r="S286" i="3"/>
  <c r="R334" i="5"/>
  <c r="T553" i="3"/>
  <c r="T296" i="3"/>
  <c r="T83" i="3"/>
  <c r="Q345" i="5" l="1"/>
  <c r="R345" i="5" s="1"/>
  <c r="R344" i="5" s="1"/>
  <c r="R343" i="5" s="1"/>
  <c r="Z344" i="5"/>
  <c r="Y344" i="5"/>
  <c r="Y343" i="5" s="1"/>
  <c r="X344" i="5"/>
  <c r="X343" i="5" s="1"/>
  <c r="W344" i="5"/>
  <c r="W343" i="5" s="1"/>
  <c r="V344" i="5"/>
  <c r="V343" i="5" s="1"/>
  <c r="S344" i="5"/>
  <c r="S343" i="5" s="1"/>
  <c r="Q344" i="5"/>
  <c r="Q343" i="5" s="1"/>
  <c r="N344" i="5"/>
  <c r="N343" i="5" s="1"/>
  <c r="Z343" i="5"/>
  <c r="AB573" i="3"/>
  <c r="AB572" i="3" s="1"/>
  <c r="AB571" i="3" s="1"/>
  <c r="AB570" i="3" s="1"/>
  <c r="AA573" i="3"/>
  <c r="AA572" i="3" s="1"/>
  <c r="AA571" i="3" s="1"/>
  <c r="AA570" i="3" s="1"/>
  <c r="Z573" i="3"/>
  <c r="Z572" i="3" s="1"/>
  <c r="Z571" i="3" s="1"/>
  <c r="Z570" i="3" s="1"/>
  <c r="Y573" i="3"/>
  <c r="Y572" i="3" s="1"/>
  <c r="Y571" i="3" s="1"/>
  <c r="Y570" i="3" s="1"/>
  <c r="X573" i="3"/>
  <c r="X572" i="3" s="1"/>
  <c r="X571" i="3" s="1"/>
  <c r="X570" i="3" s="1"/>
  <c r="U573" i="3"/>
  <c r="U572" i="3" s="1"/>
  <c r="U571" i="3" s="1"/>
  <c r="U570" i="3" s="1"/>
  <c r="S574" i="3"/>
  <c r="T574" i="3" s="1"/>
  <c r="T573" i="3" s="1"/>
  <c r="T572" i="3" s="1"/>
  <c r="T571" i="3" s="1"/>
  <c r="T570" i="3" s="1"/>
  <c r="P573" i="3"/>
  <c r="P572" i="3" s="1"/>
  <c r="P571" i="3" s="1"/>
  <c r="P570" i="3" s="1"/>
  <c r="S573" i="3" l="1"/>
  <c r="S572" i="3" s="1"/>
  <c r="S571" i="3" s="1"/>
  <c r="S570" i="3" s="1"/>
  <c r="W325" i="5"/>
  <c r="X325" i="5" s="1"/>
  <c r="R325" i="5"/>
  <c r="V324" i="5"/>
  <c r="V323" i="5" s="1"/>
  <c r="U324" i="5"/>
  <c r="T324" i="5"/>
  <c r="S324" i="5"/>
  <c r="R324" i="5"/>
  <c r="R323" i="5" s="1"/>
  <c r="Q324" i="5"/>
  <c r="P324" i="5"/>
  <c r="O324" i="5"/>
  <c r="N324" i="5"/>
  <c r="N323" i="5" s="1"/>
  <c r="M324" i="5"/>
  <c r="L324" i="5"/>
  <c r="K324" i="5"/>
  <c r="J324" i="5"/>
  <c r="S323" i="5"/>
  <c r="Q323" i="5"/>
  <c r="Y108" i="3"/>
  <c r="Y107" i="3" s="1"/>
  <c r="Y106" i="3" s="1"/>
  <c r="X107" i="3"/>
  <c r="X106" i="3" s="1"/>
  <c r="W107" i="3"/>
  <c r="V107" i="3"/>
  <c r="U107" i="3"/>
  <c r="U106" i="3" s="1"/>
  <c r="T108" i="3"/>
  <c r="S107" i="3"/>
  <c r="S106" i="3" s="1"/>
  <c r="T107" i="3"/>
  <c r="T106" i="3" s="1"/>
  <c r="R107" i="3"/>
  <c r="Q107" i="3"/>
  <c r="P107" i="3"/>
  <c r="P106" i="3" s="1"/>
  <c r="O107" i="3"/>
  <c r="N107" i="3"/>
  <c r="M107" i="3"/>
  <c r="L107" i="3"/>
  <c r="Z108" i="3" l="1"/>
  <c r="Y325" i="5"/>
  <c r="X324" i="5"/>
  <c r="X323" i="5" s="1"/>
  <c r="W324" i="5"/>
  <c r="W323" i="5" s="1"/>
  <c r="AA108" i="3" l="1"/>
  <c r="Z107" i="3"/>
  <c r="Z106" i="3" s="1"/>
  <c r="Z325" i="5"/>
  <c r="Z324" i="5" s="1"/>
  <c r="Z323" i="5" s="1"/>
  <c r="Y324" i="5"/>
  <c r="Y323" i="5" s="1"/>
  <c r="T820" i="3"/>
  <c r="AB108" i="3" l="1"/>
  <c r="AB107" i="3" s="1"/>
  <c r="AB106" i="3" s="1"/>
  <c r="AA107" i="3"/>
  <c r="AA106" i="3" s="1"/>
  <c r="W160" i="3"/>
  <c r="Z159" i="3" s="1"/>
  <c r="Z158" i="3" s="1"/>
  <c r="V160" i="3"/>
  <c r="Q160" i="3"/>
  <c r="Q159" i="3" s="1"/>
  <c r="Q158" i="3" s="1"/>
  <c r="N160" i="3"/>
  <c r="L160" i="3"/>
  <c r="L159" i="3" s="1"/>
  <c r="L158" i="3" s="1"/>
  <c r="AB159" i="3"/>
  <c r="AB158" i="3" s="1"/>
  <c r="AA159" i="3"/>
  <c r="AA158" i="3" s="1"/>
  <c r="Y159" i="3"/>
  <c r="Y158" i="3" s="1"/>
  <c r="X159" i="3"/>
  <c r="X158" i="3" s="1"/>
  <c r="V159" i="3"/>
  <c r="V158" i="3" s="1"/>
  <c r="S159" i="3"/>
  <c r="S158" i="3" s="1"/>
  <c r="R159" i="3"/>
  <c r="R158" i="3" s="1"/>
  <c r="O159" i="3"/>
  <c r="O158" i="3" s="1"/>
  <c r="N159" i="3"/>
  <c r="N158" i="3" s="1"/>
  <c r="M159" i="3"/>
  <c r="M158" i="3" s="1"/>
  <c r="T160" i="3" l="1"/>
  <c r="T159" i="3" s="1"/>
  <c r="T158" i="3" s="1"/>
  <c r="P159" i="3"/>
  <c r="P158" i="3" s="1"/>
  <c r="U159" i="3"/>
  <c r="U158" i="3" s="1"/>
  <c r="W159" i="3"/>
  <c r="W158" i="3" s="1"/>
  <c r="W157" i="3" s="1"/>
  <c r="R485" i="5"/>
  <c r="Z484" i="5"/>
  <c r="Y484" i="5"/>
  <c r="X484" i="5"/>
  <c r="X483" i="5" s="1"/>
  <c r="W484" i="5"/>
  <c r="W483" i="5" s="1"/>
  <c r="V484" i="5"/>
  <c r="U484" i="5"/>
  <c r="T484" i="5"/>
  <c r="S484" i="5"/>
  <c r="S483" i="5" s="1"/>
  <c r="R484" i="5"/>
  <c r="R483" i="5" s="1"/>
  <c r="Q484" i="5"/>
  <c r="P484" i="5"/>
  <c r="O484" i="5"/>
  <c r="N484" i="5"/>
  <c r="N483" i="5" s="1"/>
  <c r="M484" i="5"/>
  <c r="M483" i="5" s="1"/>
  <c r="L484" i="5"/>
  <c r="L483" i="5" s="1"/>
  <c r="K484" i="5"/>
  <c r="K483" i="5" s="1"/>
  <c r="J484" i="5"/>
  <c r="J483" i="5" s="1"/>
  <c r="T221" i="3"/>
  <c r="T220" i="3" s="1"/>
  <c r="T219" i="3" s="1"/>
  <c r="AB220" i="3"/>
  <c r="AB219" i="3" s="1"/>
  <c r="AA220" i="3"/>
  <c r="Z220" i="3"/>
  <c r="Z219" i="3" s="1"/>
  <c r="Y220" i="3"/>
  <c r="Y219" i="3" s="1"/>
  <c r="X220" i="3"/>
  <c r="W220" i="3"/>
  <c r="V220" i="3"/>
  <c r="U220" i="3"/>
  <c r="U219" i="3" s="1"/>
  <c r="S220" i="3"/>
  <c r="R220" i="3"/>
  <c r="Q220" i="3"/>
  <c r="P220" i="3"/>
  <c r="P219" i="3" s="1"/>
  <c r="O220" i="3"/>
  <c r="O219" i="3" s="1"/>
  <c r="N220" i="3"/>
  <c r="N219" i="3" s="1"/>
  <c r="M220" i="3"/>
  <c r="M219" i="3" s="1"/>
  <c r="L220" i="3"/>
  <c r="L219" i="3" s="1"/>
  <c r="Z483" i="5" l="1"/>
  <c r="Z316" i="5"/>
  <c r="Z315" i="5" s="1"/>
  <c r="Z314" i="5" s="1"/>
  <c r="W316" i="5"/>
  <c r="W315" i="5" s="1"/>
  <c r="W314" i="5" s="1"/>
  <c r="R316" i="5"/>
  <c r="Y315" i="5"/>
  <c r="Y314" i="5" s="1"/>
  <c r="X315" i="5"/>
  <c r="X314" i="5" s="1"/>
  <c r="V315" i="5"/>
  <c r="V314" i="5" s="1"/>
  <c r="T315" i="5"/>
  <c r="T314" i="5" s="1"/>
  <c r="S315" i="5"/>
  <c r="S314" i="5" s="1"/>
  <c r="R315" i="5"/>
  <c r="R314" i="5" s="1"/>
  <c r="Q315" i="5"/>
  <c r="Q314" i="5" s="1"/>
  <c r="P315" i="5"/>
  <c r="P314" i="5" s="1"/>
  <c r="O315" i="5"/>
  <c r="O314" i="5" s="1"/>
  <c r="N315" i="5"/>
  <c r="N314" i="5" s="1"/>
  <c r="AB145" i="3"/>
  <c r="Y145" i="3"/>
  <c r="T145" i="3"/>
  <c r="L52" i="5" l="1"/>
  <c r="L51" i="5" s="1"/>
  <c r="L50" i="5" s="1"/>
  <c r="Z51" i="5"/>
  <c r="Z50" i="5" s="1"/>
  <c r="Y51" i="5"/>
  <c r="Y50" i="5" s="1"/>
  <c r="X51" i="5"/>
  <c r="X50" i="5" s="1"/>
  <c r="W51" i="5"/>
  <c r="W50" i="5" s="1"/>
  <c r="V51" i="5"/>
  <c r="V50" i="5" s="1"/>
  <c r="U51" i="5"/>
  <c r="U50" i="5" s="1"/>
  <c r="T51" i="5"/>
  <c r="T50" i="5" s="1"/>
  <c r="S51" i="5"/>
  <c r="S50" i="5" s="1"/>
  <c r="Q51" i="5"/>
  <c r="Q50" i="5" s="1"/>
  <c r="P51" i="5"/>
  <c r="O51" i="5"/>
  <c r="O50" i="5" s="1"/>
  <c r="N51" i="5"/>
  <c r="R52" i="5" s="1"/>
  <c r="R51" i="5" s="1"/>
  <c r="R50" i="5" s="1"/>
  <c r="M51" i="5"/>
  <c r="M50" i="5" s="1"/>
  <c r="P50" i="5"/>
  <c r="N50" i="5" l="1"/>
  <c r="T723" i="3"/>
  <c r="N735" i="3"/>
  <c r="AB734" i="3"/>
  <c r="AB733" i="3" s="1"/>
  <c r="AA734" i="3"/>
  <c r="AA733" i="3" s="1"/>
  <c r="Z734" i="3"/>
  <c r="Z733" i="3" s="1"/>
  <c r="Y734" i="3"/>
  <c r="Y733" i="3" s="1"/>
  <c r="X734" i="3"/>
  <c r="X733" i="3" s="1"/>
  <c r="W734" i="3"/>
  <c r="W733" i="3" s="1"/>
  <c r="V734" i="3"/>
  <c r="V733" i="3" s="1"/>
  <c r="U734" i="3"/>
  <c r="U733" i="3" s="1"/>
  <c r="S734" i="3"/>
  <c r="S733" i="3" s="1"/>
  <c r="R734" i="3"/>
  <c r="R733" i="3" s="1"/>
  <c r="Q734" i="3"/>
  <c r="P734" i="3"/>
  <c r="P733" i="3" s="1"/>
  <c r="O734" i="3"/>
  <c r="O733" i="3" s="1"/>
  <c r="N734" i="3"/>
  <c r="N733" i="3" s="1"/>
  <c r="Q733" i="3"/>
  <c r="T735" i="3" l="1"/>
  <c r="T734" i="3" s="1"/>
  <c r="T733" i="3" s="1"/>
  <c r="R21" i="5"/>
  <c r="R23" i="5"/>
  <c r="T778" i="3"/>
  <c r="T776" i="3"/>
  <c r="T472" i="3" l="1"/>
  <c r="Z534" i="5" l="1"/>
  <c r="Y534" i="5"/>
  <c r="X534" i="5"/>
  <c r="W534" i="5"/>
  <c r="V534" i="5"/>
  <c r="T534" i="5"/>
  <c r="S534" i="5"/>
  <c r="R534" i="5"/>
  <c r="Q534" i="5"/>
  <c r="P534" i="5"/>
  <c r="O534" i="5"/>
  <c r="N534" i="5"/>
  <c r="M534" i="5"/>
  <c r="L534" i="5"/>
  <c r="Z533" i="5"/>
  <c r="Y533" i="5"/>
  <c r="X533" i="5"/>
  <c r="W533" i="5"/>
  <c r="V533" i="5"/>
  <c r="T533" i="5"/>
  <c r="S533" i="5"/>
  <c r="R533" i="5"/>
  <c r="Q533" i="5"/>
  <c r="P533" i="5"/>
  <c r="O533" i="5"/>
  <c r="N533" i="5"/>
  <c r="M533" i="5"/>
  <c r="L533" i="5"/>
  <c r="AB302" i="3"/>
  <c r="AB301" i="3" s="1"/>
  <c r="AA302" i="3"/>
  <c r="AA301" i="3" s="1"/>
  <c r="Z302" i="3"/>
  <c r="Z301" i="3" s="1"/>
  <c r="Y302" i="3"/>
  <c r="Y301" i="3" s="1"/>
  <c r="X302" i="3"/>
  <c r="X301" i="3" s="1"/>
  <c r="V302" i="3"/>
  <c r="V301" i="3" s="1"/>
  <c r="U302" i="3"/>
  <c r="T302" i="3"/>
  <c r="T301" i="3" s="1"/>
  <c r="S302" i="3"/>
  <c r="S301" i="3" s="1"/>
  <c r="R302" i="3"/>
  <c r="R301" i="3" s="1"/>
  <c r="Q302" i="3"/>
  <c r="Q301" i="3" s="1"/>
  <c r="P302" i="3"/>
  <c r="P301" i="3" s="1"/>
  <c r="O302" i="3"/>
  <c r="O301" i="3" s="1"/>
  <c r="N302" i="3"/>
  <c r="N301" i="3" s="1"/>
  <c r="U301" i="3"/>
  <c r="R243" i="5" l="1"/>
  <c r="T425" i="3" l="1"/>
  <c r="S217" i="3"/>
  <c r="P217" i="3"/>
  <c r="T218" i="3"/>
  <c r="T217" i="3" s="1"/>
  <c r="T131" i="3"/>
  <c r="R388" i="5" l="1"/>
  <c r="R391" i="5"/>
  <c r="T638" i="3" l="1"/>
  <c r="S641" i="3"/>
  <c r="T39" i="3" l="1"/>
  <c r="R310" i="5" l="1"/>
  <c r="T77" i="3"/>
  <c r="O292" i="5" l="1"/>
  <c r="P292" i="5"/>
  <c r="T292" i="5"/>
  <c r="U292" i="5"/>
  <c r="R58" i="5"/>
  <c r="R57" i="5" s="1"/>
  <c r="Z57" i="5"/>
  <c r="Y57" i="5"/>
  <c r="X57" i="5"/>
  <c r="W57" i="5"/>
  <c r="V57" i="5"/>
  <c r="U57" i="5"/>
  <c r="T57" i="5"/>
  <c r="S57" i="5"/>
  <c r="Q57" i="5"/>
  <c r="S295" i="5" l="1"/>
  <c r="W296" i="5" l="1"/>
  <c r="Z295" i="5"/>
  <c r="Y295" i="5"/>
  <c r="X295" i="5"/>
  <c r="W295" i="5"/>
  <c r="V295" i="5"/>
  <c r="R296" i="5"/>
  <c r="R295" i="5" s="1"/>
  <c r="Q295" i="5"/>
  <c r="N295" i="5"/>
  <c r="Q221" i="5"/>
  <c r="Z138" i="5"/>
  <c r="Y138" i="5"/>
  <c r="X138" i="5"/>
  <c r="W138" i="5"/>
  <c r="V138" i="5"/>
  <c r="S138" i="5"/>
  <c r="R138" i="5"/>
  <c r="R139" i="5"/>
  <c r="Q138" i="5"/>
  <c r="N138" i="5"/>
  <c r="R141" i="5"/>
  <c r="R60" i="5" l="1"/>
  <c r="R83" i="5"/>
  <c r="R298" i="5"/>
  <c r="T594" i="3"/>
  <c r="T763" i="3"/>
  <c r="T741" i="3"/>
  <c r="T420" i="3"/>
  <c r="T419" i="3" s="1"/>
  <c r="T418" i="3" s="1"/>
  <c r="T417" i="3" s="1"/>
  <c r="AB419" i="3"/>
  <c r="AA419" i="3"/>
  <c r="AA418" i="3" s="1"/>
  <c r="AA417" i="3" s="1"/>
  <c r="Z419" i="3"/>
  <c r="Z418" i="3" s="1"/>
  <c r="Y419" i="3"/>
  <c r="Y418" i="3" s="1"/>
  <c r="Y417" i="3" s="1"/>
  <c r="X419" i="3"/>
  <c r="X418" i="3" s="1"/>
  <c r="X417" i="3" s="1"/>
  <c r="W419" i="3"/>
  <c r="W418" i="3" s="1"/>
  <c r="W417" i="3" s="1"/>
  <c r="V419" i="3"/>
  <c r="V418" i="3" s="1"/>
  <c r="U419" i="3"/>
  <c r="U418" i="3" s="1"/>
  <c r="U417" i="3" s="1"/>
  <c r="S419" i="3"/>
  <c r="S418" i="3" s="1"/>
  <c r="S417" i="3" s="1"/>
  <c r="R419" i="3"/>
  <c r="R418" i="3" s="1"/>
  <c r="Q419" i="3"/>
  <c r="Q418" i="3" s="1"/>
  <c r="P419" i="3"/>
  <c r="P418" i="3" s="1"/>
  <c r="P416" i="3" s="1"/>
  <c r="O419" i="3"/>
  <c r="O418" i="3" s="1"/>
  <c r="N419" i="3"/>
  <c r="N418" i="3" s="1"/>
  <c r="AB418" i="3"/>
  <c r="AB417" i="3" s="1"/>
  <c r="T456" i="3"/>
  <c r="T455" i="3" s="1"/>
  <c r="T454" i="3" s="1"/>
  <c r="AB455" i="3"/>
  <c r="AB454" i="3" s="1"/>
  <c r="AA455" i="3"/>
  <c r="AA454" i="3" s="1"/>
  <c r="Z455" i="3"/>
  <c r="Z454" i="3" s="1"/>
  <c r="Y455" i="3"/>
  <c r="Y454" i="3" s="1"/>
  <c r="X455" i="3"/>
  <c r="X454" i="3" s="1"/>
  <c r="W455" i="3"/>
  <c r="W454" i="3" s="1"/>
  <c r="V455" i="3"/>
  <c r="V454" i="3" s="1"/>
  <c r="U455" i="3"/>
  <c r="U454" i="3" s="1"/>
  <c r="S455" i="3"/>
  <c r="R455" i="3"/>
  <c r="R454" i="3" s="1"/>
  <c r="Q455" i="3"/>
  <c r="Q454" i="3" s="1"/>
  <c r="P455" i="3"/>
  <c r="P454" i="3" s="1"/>
  <c r="O455" i="3"/>
  <c r="O454" i="3" s="1"/>
  <c r="N455" i="3"/>
  <c r="N454" i="3" s="1"/>
  <c r="S454" i="3"/>
  <c r="T389" i="3"/>
  <c r="T388" i="3" s="1"/>
  <c r="T387" i="3" s="1"/>
  <c r="AB388" i="3"/>
  <c r="AB387" i="3" s="1"/>
  <c r="AA388" i="3"/>
  <c r="AA387" i="3" s="1"/>
  <c r="Z388" i="3"/>
  <c r="Z387" i="3" s="1"/>
  <c r="Y388" i="3"/>
  <c r="Y387" i="3" s="1"/>
  <c r="X388" i="3"/>
  <c r="X387" i="3" s="1"/>
  <c r="W388" i="3"/>
  <c r="W387" i="3" s="1"/>
  <c r="V388" i="3"/>
  <c r="V387" i="3" s="1"/>
  <c r="U388" i="3"/>
  <c r="U387" i="3" s="1"/>
  <c r="S388" i="3"/>
  <c r="R388" i="3"/>
  <c r="R387" i="3" s="1"/>
  <c r="Q388" i="3"/>
  <c r="Q387" i="3" s="1"/>
  <c r="P388" i="3"/>
  <c r="P387" i="3" s="1"/>
  <c r="O388" i="3"/>
  <c r="O387" i="3" s="1"/>
  <c r="N388" i="3"/>
  <c r="N387" i="3" s="1"/>
  <c r="M388" i="3"/>
  <c r="M387" i="3" s="1"/>
  <c r="L388" i="3"/>
  <c r="L387" i="3" s="1"/>
  <c r="S387" i="3"/>
  <c r="T381" i="3"/>
  <c r="T360" i="3"/>
  <c r="T409" i="3"/>
  <c r="T508" i="3"/>
  <c r="W831" i="3"/>
  <c r="T831" i="3"/>
  <c r="R831" i="3"/>
  <c r="R830" i="3" s="1"/>
  <c r="R829" i="3" s="1"/>
  <c r="AB830" i="3"/>
  <c r="AB829" i="3" s="1"/>
  <c r="AA830" i="3"/>
  <c r="AA829" i="3" s="1"/>
  <c r="Z830" i="3"/>
  <c r="Z829" i="3" s="1"/>
  <c r="Y830" i="3"/>
  <c r="Y829" i="3" s="1"/>
  <c r="X830" i="3"/>
  <c r="X829" i="3" s="1"/>
  <c r="W830" i="3"/>
  <c r="W829" i="3" s="1"/>
  <c r="V830" i="3"/>
  <c r="V829" i="3" s="1"/>
  <c r="U830" i="3"/>
  <c r="U829" i="3" s="1"/>
  <c r="T830" i="3"/>
  <c r="T829" i="3" s="1"/>
  <c r="S830" i="3"/>
  <c r="S829" i="3" s="1"/>
  <c r="Q830" i="3"/>
  <c r="Q829" i="3" s="1"/>
  <c r="P830" i="3"/>
  <c r="P829" i="3" s="1"/>
  <c r="O830" i="3"/>
  <c r="O829" i="3" s="1"/>
  <c r="N830" i="3"/>
  <c r="N829" i="3" s="1"/>
  <c r="M830" i="3"/>
  <c r="M829" i="3" s="1"/>
  <c r="L830" i="3"/>
  <c r="L829" i="3" s="1"/>
  <c r="T335" i="3"/>
  <c r="T65" i="3"/>
  <c r="R212" i="5"/>
  <c r="R359" i="5"/>
  <c r="R532" i="5"/>
  <c r="R538" i="5"/>
  <c r="T495" i="3"/>
  <c r="T300" i="3"/>
  <c r="T306" i="3"/>
  <c r="T351" i="3"/>
  <c r="AB844" i="3"/>
  <c r="AA844" i="3"/>
  <c r="Z844" i="3"/>
  <c r="Y844" i="3"/>
  <c r="AB843" i="3"/>
  <c r="AA843" i="3"/>
  <c r="Z843" i="3"/>
  <c r="Y843" i="3"/>
  <c r="AB842" i="3"/>
  <c r="AA842" i="3"/>
  <c r="Z842" i="3"/>
  <c r="Y842" i="3"/>
  <c r="AB841" i="3"/>
  <c r="AA841" i="3"/>
  <c r="Z841" i="3"/>
  <c r="Y841" i="3"/>
  <c r="AB840" i="3"/>
  <c r="AA840" i="3"/>
  <c r="Z840" i="3"/>
  <c r="Y840" i="3"/>
  <c r="X844" i="3"/>
  <c r="X843" i="3" s="1"/>
  <c r="X842" i="3" s="1"/>
  <c r="X841" i="3" s="1"/>
  <c r="X840" i="3" s="1"/>
  <c r="V845" i="3"/>
  <c r="T845" i="3"/>
  <c r="T844" i="3" s="1"/>
  <c r="T843" i="3" s="1"/>
  <c r="T842" i="3" s="1"/>
  <c r="T841" i="3" s="1"/>
  <c r="T840" i="3" s="1"/>
  <c r="Q845" i="3"/>
  <c r="Q844" i="3" s="1"/>
  <c r="Q843" i="3" s="1"/>
  <c r="W844" i="3"/>
  <c r="W843" i="3" s="1"/>
  <c r="V844" i="3"/>
  <c r="V843" i="3" s="1"/>
  <c r="U844" i="3"/>
  <c r="S844" i="3"/>
  <c r="S843" i="3" s="1"/>
  <c r="S842" i="3" s="1"/>
  <c r="S841" i="3" s="1"/>
  <c r="S840" i="3" s="1"/>
  <c r="R844" i="3"/>
  <c r="R843" i="3" s="1"/>
  <c r="P844" i="3"/>
  <c r="P843" i="3" s="1"/>
  <c r="P842" i="3" s="1"/>
  <c r="P841" i="3" s="1"/>
  <c r="P840" i="3" s="1"/>
  <c r="O844" i="3"/>
  <c r="O843" i="3" s="1"/>
  <c r="N844" i="3"/>
  <c r="N843" i="3" s="1"/>
  <c r="U843" i="3"/>
  <c r="U842" i="3" s="1"/>
  <c r="U841" i="3" s="1"/>
  <c r="U840" i="3" s="1"/>
  <c r="T641" i="3"/>
  <c r="U416" i="3" l="1"/>
  <c r="Y416" i="3"/>
  <c r="P417" i="3"/>
  <c r="W416" i="3"/>
  <c r="AA416" i="3"/>
  <c r="V417" i="3"/>
  <c r="V416" i="3"/>
  <c r="Z417" i="3"/>
  <c r="Z416" i="3"/>
  <c r="S416" i="3"/>
  <c r="T416" i="3"/>
  <c r="X416" i="3"/>
  <c r="AB416" i="3"/>
  <c r="Q71" i="5"/>
  <c r="T47" i="3" l="1"/>
  <c r="Q253" i="5"/>
  <c r="R418" i="5" l="1"/>
  <c r="Z417" i="5"/>
  <c r="Y417" i="5"/>
  <c r="X417" i="5"/>
  <c r="W417" i="5"/>
  <c r="V417" i="5"/>
  <c r="S417" i="5"/>
  <c r="R417" i="5"/>
  <c r="Q417" i="5"/>
  <c r="N417" i="5"/>
  <c r="R597" i="5"/>
  <c r="T482" i="3"/>
  <c r="AB684" i="3"/>
  <c r="AA684" i="3"/>
  <c r="Z684" i="3"/>
  <c r="Y684" i="3"/>
  <c r="X684" i="3"/>
  <c r="U684" i="3"/>
  <c r="S684" i="3"/>
  <c r="T685" i="3"/>
  <c r="T684" i="3" s="1"/>
  <c r="P684" i="3"/>
  <c r="T683" i="3"/>
  <c r="Z126" i="5" l="1"/>
  <c r="Y126" i="5"/>
  <c r="X126" i="5"/>
  <c r="W126" i="5"/>
  <c r="V126" i="5"/>
  <c r="S126" i="5"/>
  <c r="N126" i="5"/>
  <c r="R127" i="5"/>
  <c r="R126" i="5" s="1"/>
  <c r="Q126" i="5"/>
  <c r="T814" i="3"/>
  <c r="T813" i="3" s="1"/>
  <c r="T812" i="3" s="1"/>
  <c r="T811" i="3" s="1"/>
  <c r="T810" i="3" s="1"/>
  <c r="AB813" i="3"/>
  <c r="AB812" i="3" s="1"/>
  <c r="AB811" i="3" s="1"/>
  <c r="AB810" i="3" s="1"/>
  <c r="AA813" i="3"/>
  <c r="AA812" i="3" s="1"/>
  <c r="AA811" i="3" s="1"/>
  <c r="AA810" i="3" s="1"/>
  <c r="Z813" i="3"/>
  <c r="Z812" i="3" s="1"/>
  <c r="Z811" i="3" s="1"/>
  <c r="Z810" i="3" s="1"/>
  <c r="Y813" i="3"/>
  <c r="Y812" i="3" s="1"/>
  <c r="Y811" i="3" s="1"/>
  <c r="Y810" i="3" s="1"/>
  <c r="X813" i="3"/>
  <c r="X812" i="3" s="1"/>
  <c r="X811" i="3" s="1"/>
  <c r="X810" i="3" s="1"/>
  <c r="W813" i="3"/>
  <c r="W812" i="3" s="1"/>
  <c r="W811" i="3" s="1"/>
  <c r="W810" i="3" s="1"/>
  <c r="V813" i="3"/>
  <c r="V812" i="3" s="1"/>
  <c r="V811" i="3" s="1"/>
  <c r="V810" i="3" s="1"/>
  <c r="U813" i="3"/>
  <c r="U812" i="3" s="1"/>
  <c r="U811" i="3" s="1"/>
  <c r="U810" i="3" s="1"/>
  <c r="S813" i="3"/>
  <c r="R813" i="3"/>
  <c r="R812" i="3" s="1"/>
  <c r="R811" i="3" s="1"/>
  <c r="R810" i="3" s="1"/>
  <c r="Q813" i="3"/>
  <c r="Q812" i="3" s="1"/>
  <c r="Q811" i="3" s="1"/>
  <c r="Q810" i="3" s="1"/>
  <c r="P813" i="3"/>
  <c r="P812" i="3" s="1"/>
  <c r="P811" i="3" s="1"/>
  <c r="P810" i="3" s="1"/>
  <c r="O813" i="3"/>
  <c r="O812" i="3" s="1"/>
  <c r="N813" i="3"/>
  <c r="N812" i="3" s="1"/>
  <c r="M813" i="3"/>
  <c r="M812" i="3" s="1"/>
  <c r="L813" i="3"/>
  <c r="L812" i="3" s="1"/>
  <c r="S812" i="3"/>
  <c r="S811" i="3" s="1"/>
  <c r="S810" i="3" s="1"/>
  <c r="T488" i="3"/>
  <c r="T487" i="3" s="1"/>
  <c r="T486" i="3" s="1"/>
  <c r="T485" i="3" s="1"/>
  <c r="AB487" i="3"/>
  <c r="AB486" i="3" s="1"/>
  <c r="AB485" i="3" s="1"/>
  <c r="AA487" i="3"/>
  <c r="AA486" i="3" s="1"/>
  <c r="AA485" i="3" s="1"/>
  <c r="Z487" i="3"/>
  <c r="Y487" i="3"/>
  <c r="Y486" i="3" s="1"/>
  <c r="Y485" i="3" s="1"/>
  <c r="X487" i="3"/>
  <c r="X486" i="3" s="1"/>
  <c r="X485" i="3" s="1"/>
  <c r="U487" i="3"/>
  <c r="U486" i="3" s="1"/>
  <c r="U485" i="3" s="1"/>
  <c r="S487" i="3"/>
  <c r="S486" i="3" s="1"/>
  <c r="S485" i="3" s="1"/>
  <c r="P487" i="3"/>
  <c r="P486" i="3" s="1"/>
  <c r="P485" i="3" s="1"/>
  <c r="Z486" i="3"/>
  <c r="Z485" i="3" s="1"/>
  <c r="T630" i="3"/>
  <c r="T629" i="3" s="1"/>
  <c r="T628" i="3" s="1"/>
  <c r="T627" i="3" s="1"/>
  <c r="AB629" i="3"/>
  <c r="AA629" i="3"/>
  <c r="AA628" i="3" s="1"/>
  <c r="AA627" i="3" s="1"/>
  <c r="Z629" i="3"/>
  <c r="Z628" i="3" s="1"/>
  <c r="Z627" i="3" s="1"/>
  <c r="Y629" i="3"/>
  <c r="Y628" i="3" s="1"/>
  <c r="Y627" i="3" s="1"/>
  <c r="X629" i="3"/>
  <c r="X628" i="3" s="1"/>
  <c r="X627" i="3" s="1"/>
  <c r="U629" i="3"/>
  <c r="U628" i="3" s="1"/>
  <c r="U627" i="3" s="1"/>
  <c r="S629" i="3"/>
  <c r="S628" i="3" s="1"/>
  <c r="S627" i="3" s="1"/>
  <c r="P629" i="3"/>
  <c r="P628" i="3" s="1"/>
  <c r="P627" i="3" s="1"/>
  <c r="AB628" i="3"/>
  <c r="AB627" i="3" s="1"/>
  <c r="AB617" i="3"/>
  <c r="AA617" i="3"/>
  <c r="AB616" i="3"/>
  <c r="AA616" i="3"/>
  <c r="AB615" i="3"/>
  <c r="AA615" i="3"/>
  <c r="Z617" i="3"/>
  <c r="Z616" i="3" s="1"/>
  <c r="Z615" i="3" s="1"/>
  <c r="Y617" i="3"/>
  <c r="Y616" i="3" s="1"/>
  <c r="Y615" i="3" s="1"/>
  <c r="X617" i="3"/>
  <c r="U617" i="3"/>
  <c r="U616" i="3" s="1"/>
  <c r="U615" i="3" s="1"/>
  <c r="X616" i="3"/>
  <c r="X615" i="3" s="1"/>
  <c r="T617" i="3"/>
  <c r="T616" i="3" s="1"/>
  <c r="T615" i="3" s="1"/>
  <c r="S617" i="3"/>
  <c r="S616" i="3" s="1"/>
  <c r="S615" i="3" s="1"/>
  <c r="P617" i="3"/>
  <c r="P616" i="3" s="1"/>
  <c r="P615" i="3" s="1"/>
  <c r="T770" i="3" l="1"/>
  <c r="T769" i="3" s="1"/>
  <c r="T768" i="3" s="1"/>
  <c r="T767" i="3" s="1"/>
  <c r="AB769" i="3"/>
  <c r="AA769" i="3"/>
  <c r="AA768" i="3" s="1"/>
  <c r="AA767" i="3" s="1"/>
  <c r="Z769" i="3"/>
  <c r="Z768" i="3" s="1"/>
  <c r="Z767" i="3" s="1"/>
  <c r="Y769" i="3"/>
  <c r="Y768" i="3" s="1"/>
  <c r="Y767" i="3" s="1"/>
  <c r="X769" i="3"/>
  <c r="X768" i="3" s="1"/>
  <c r="X767" i="3" s="1"/>
  <c r="W769" i="3"/>
  <c r="W768" i="3" s="1"/>
  <c r="W767" i="3" s="1"/>
  <c r="V769" i="3"/>
  <c r="V768" i="3" s="1"/>
  <c r="V767" i="3" s="1"/>
  <c r="U769" i="3"/>
  <c r="U768" i="3" s="1"/>
  <c r="U767" i="3" s="1"/>
  <c r="S769" i="3"/>
  <c r="S768" i="3" s="1"/>
  <c r="S767" i="3" s="1"/>
  <c r="R769" i="3"/>
  <c r="R768" i="3" s="1"/>
  <c r="R767" i="3" s="1"/>
  <c r="Q769" i="3"/>
  <c r="Q768" i="3" s="1"/>
  <c r="Q767" i="3" s="1"/>
  <c r="P769" i="3"/>
  <c r="O769" i="3"/>
  <c r="O768" i="3" s="1"/>
  <c r="N769" i="3"/>
  <c r="N768" i="3" s="1"/>
  <c r="M769" i="3"/>
  <c r="M768" i="3" s="1"/>
  <c r="L769" i="3"/>
  <c r="L768" i="3" s="1"/>
  <c r="AB768" i="3"/>
  <c r="AB767" i="3" s="1"/>
  <c r="P768" i="3"/>
  <c r="P767" i="3" s="1"/>
  <c r="AB357" i="3" l="1"/>
  <c r="Y357" i="3"/>
  <c r="T357" i="3"/>
  <c r="Z218" i="5"/>
  <c r="W218" i="5"/>
  <c r="R218" i="5"/>
  <c r="R367" i="5" l="1"/>
  <c r="R365" i="5"/>
  <c r="R336" i="5"/>
  <c r="Z328" i="5"/>
  <c r="R328" i="5"/>
  <c r="Z310" i="5"/>
  <c r="W310" i="5"/>
  <c r="R294" i="5"/>
  <c r="R235" i="5"/>
  <c r="R185" i="5"/>
  <c r="R86" i="5"/>
  <c r="R63" i="5"/>
  <c r="R55" i="5"/>
  <c r="R40" i="5"/>
  <c r="R37" i="5"/>
  <c r="T766" i="3"/>
  <c r="T744" i="3"/>
  <c r="T738" i="3"/>
  <c r="T726" i="3"/>
  <c r="T698" i="3"/>
  <c r="T555" i="3"/>
  <c r="T516" i="3"/>
  <c r="T498" i="3"/>
  <c r="T450" i="3"/>
  <c r="T375" i="3"/>
  <c r="T179" i="3"/>
  <c r="T142" i="3"/>
  <c r="AB124" i="3"/>
  <c r="T124" i="3"/>
  <c r="T120" i="3"/>
  <c r="T114" i="3"/>
  <c r="AB77" i="3"/>
  <c r="Y77" i="3"/>
  <c r="T313" i="5" l="1"/>
  <c r="O313" i="5"/>
  <c r="L313" i="5"/>
  <c r="J313" i="5"/>
  <c r="Z312" i="5"/>
  <c r="Z311" i="5" s="1"/>
  <c r="Y312" i="5"/>
  <c r="Y311" i="5" s="1"/>
  <c r="X312" i="5"/>
  <c r="X311" i="5" s="1"/>
  <c r="W312" i="5"/>
  <c r="W311" i="5" s="1"/>
  <c r="V312" i="5"/>
  <c r="V311" i="5" s="1"/>
  <c r="U312" i="5"/>
  <c r="U311" i="5" s="1"/>
  <c r="T312" i="5"/>
  <c r="T311" i="5" s="1"/>
  <c r="S312" i="5"/>
  <c r="S311" i="5" s="1"/>
  <c r="Q312" i="5"/>
  <c r="Q311" i="5" s="1"/>
  <c r="P312" i="5"/>
  <c r="P311" i="5" s="1"/>
  <c r="O312" i="5"/>
  <c r="O311" i="5" s="1"/>
  <c r="N312" i="5"/>
  <c r="M312" i="5"/>
  <c r="M311" i="5" s="1"/>
  <c r="L312" i="5"/>
  <c r="L311" i="5" s="1"/>
  <c r="K312" i="5"/>
  <c r="K311" i="5" s="1"/>
  <c r="J312" i="5"/>
  <c r="J311" i="5" s="1"/>
  <c r="V83" i="3"/>
  <c r="U82" i="3"/>
  <c r="U81" i="3" s="1"/>
  <c r="Q83" i="3"/>
  <c r="Q82" i="3" s="1"/>
  <c r="Q81" i="3" s="1"/>
  <c r="N83" i="3"/>
  <c r="L83" i="3"/>
  <c r="L82" i="3" s="1"/>
  <c r="L81" i="3" s="1"/>
  <c r="AB82" i="3"/>
  <c r="AB81" i="3" s="1"/>
  <c r="AA82" i="3"/>
  <c r="AA81" i="3" s="1"/>
  <c r="Z82" i="3"/>
  <c r="Z81" i="3" s="1"/>
  <c r="X82" i="3"/>
  <c r="X81" i="3" s="1"/>
  <c r="W82" i="3"/>
  <c r="W81" i="3" s="1"/>
  <c r="V82" i="3"/>
  <c r="V81" i="3" s="1"/>
  <c r="S82" i="3"/>
  <c r="S81" i="3" s="1"/>
  <c r="R82" i="3"/>
  <c r="R81" i="3" s="1"/>
  <c r="P82" i="3"/>
  <c r="O82" i="3"/>
  <c r="O81" i="3" s="1"/>
  <c r="N82" i="3"/>
  <c r="N81" i="3" s="1"/>
  <c r="M82" i="3"/>
  <c r="M81" i="3" s="1"/>
  <c r="R583" i="5"/>
  <c r="R542" i="5"/>
  <c r="Z542" i="5"/>
  <c r="Y542" i="5"/>
  <c r="X542" i="5"/>
  <c r="W542" i="5"/>
  <c r="V542" i="5"/>
  <c r="U542" i="5"/>
  <c r="T542" i="5"/>
  <c r="S542" i="5"/>
  <c r="Q542" i="5"/>
  <c r="P542" i="5"/>
  <c r="O542" i="5"/>
  <c r="N542" i="5"/>
  <c r="R540" i="5"/>
  <c r="Z540" i="5"/>
  <c r="Y540" i="5"/>
  <c r="Y539" i="5" s="1"/>
  <c r="X540" i="5"/>
  <c r="X539" i="5" s="1"/>
  <c r="W540" i="5"/>
  <c r="W539" i="5" s="1"/>
  <c r="V540" i="5"/>
  <c r="V539" i="5" s="1"/>
  <c r="U540" i="5"/>
  <c r="U539" i="5" s="1"/>
  <c r="T540" i="5"/>
  <c r="T539" i="5" s="1"/>
  <c r="S540" i="5"/>
  <c r="S539" i="5" s="1"/>
  <c r="Q540" i="5"/>
  <c r="P540" i="5"/>
  <c r="O540" i="5"/>
  <c r="O539" i="5" s="1"/>
  <c r="N540" i="5"/>
  <c r="M540" i="5"/>
  <c r="M539" i="5" s="1"/>
  <c r="L540" i="5"/>
  <c r="L539" i="5" s="1"/>
  <c r="K540" i="5"/>
  <c r="K539" i="5" s="1"/>
  <c r="J540" i="5"/>
  <c r="Z539" i="5"/>
  <c r="P539" i="5"/>
  <c r="J539" i="5"/>
  <c r="T391" i="5"/>
  <c r="T390" i="5" s="1"/>
  <c r="T389" i="5" s="1"/>
  <c r="R390" i="5"/>
  <c r="R389" i="5" s="1"/>
  <c r="O391" i="5"/>
  <c r="Z390" i="5"/>
  <c r="Z389" i="5" s="1"/>
  <c r="Y390" i="5"/>
  <c r="X390" i="5"/>
  <c r="X389" i="5" s="1"/>
  <c r="W390" i="5"/>
  <c r="W389" i="5" s="1"/>
  <c r="V390" i="5"/>
  <c r="V389" i="5" s="1"/>
  <c r="U390" i="5"/>
  <c r="S390" i="5"/>
  <c r="S389" i="5" s="1"/>
  <c r="P390" i="5"/>
  <c r="P389" i="5" s="1"/>
  <c r="O390" i="5"/>
  <c r="O389" i="5" s="1"/>
  <c r="N390" i="5"/>
  <c r="N389" i="5" s="1"/>
  <c r="M390" i="5"/>
  <c r="M389" i="5" s="1"/>
  <c r="L390" i="5"/>
  <c r="L389" i="5" s="1"/>
  <c r="Y389" i="5"/>
  <c r="U389" i="5"/>
  <c r="Z272" i="5"/>
  <c r="Y272" i="5"/>
  <c r="Y271" i="5" s="1"/>
  <c r="X272" i="5"/>
  <c r="X271" i="5" s="1"/>
  <c r="W272" i="5"/>
  <c r="W271" i="5" s="1"/>
  <c r="V272" i="5"/>
  <c r="V271" i="5" s="1"/>
  <c r="T272" i="5"/>
  <c r="T271" i="5" s="1"/>
  <c r="S272" i="5"/>
  <c r="S271" i="5" s="1"/>
  <c r="Q272" i="5"/>
  <c r="Q271" i="5" s="1"/>
  <c r="P272" i="5"/>
  <c r="P271" i="5" s="1"/>
  <c r="O272" i="5"/>
  <c r="O271" i="5" s="1"/>
  <c r="N272" i="5"/>
  <c r="R272" i="5" s="1"/>
  <c r="R271" i="5" s="1"/>
  <c r="R234" i="5"/>
  <c r="Z234" i="5"/>
  <c r="Y234" i="5"/>
  <c r="X234" i="5"/>
  <c r="W234" i="5"/>
  <c r="V234" i="5"/>
  <c r="S234" i="5"/>
  <c r="Q234" i="5"/>
  <c r="N234" i="5"/>
  <c r="T177" i="3"/>
  <c r="R233" i="5"/>
  <c r="T462" i="3"/>
  <c r="Z271" i="5" l="1"/>
  <c r="N311" i="5"/>
  <c r="R313" i="5"/>
  <c r="R312" i="5" s="1"/>
  <c r="R311" i="5" s="1"/>
  <c r="N271" i="5"/>
  <c r="N539" i="5"/>
  <c r="Q539" i="5"/>
  <c r="R539" i="5"/>
  <c r="P81" i="3"/>
  <c r="T82" i="3"/>
  <c r="T81" i="3" s="1"/>
  <c r="Q390" i="5"/>
  <c r="Q389" i="5" s="1"/>
  <c r="T315" i="3"/>
  <c r="T312" i="3" s="1"/>
  <c r="W315" i="3"/>
  <c r="V315" i="3"/>
  <c r="U315" i="3"/>
  <c r="S315" i="3"/>
  <c r="S312" i="3" s="1"/>
  <c r="R315" i="3"/>
  <c r="R312" i="3" s="1"/>
  <c r="Q315" i="3"/>
  <c r="Q312" i="3" s="1"/>
  <c r="P315" i="3"/>
  <c r="P312" i="3" s="1"/>
  <c r="S308" i="3"/>
  <c r="T310" i="3"/>
  <c r="Q310" i="3"/>
  <c r="R310" i="3"/>
  <c r="S310" i="3"/>
  <c r="U310" i="3"/>
  <c r="V310" i="3"/>
  <c r="W310" i="3"/>
  <c r="X310" i="3"/>
  <c r="Y310" i="3"/>
  <c r="Z310" i="3"/>
  <c r="AA310" i="3"/>
  <c r="AB310" i="3"/>
  <c r="Q308" i="3"/>
  <c r="R308" i="3"/>
  <c r="T308" i="3"/>
  <c r="U308" i="3"/>
  <c r="V308" i="3"/>
  <c r="W308" i="3"/>
  <c r="X308" i="3"/>
  <c r="Y308" i="3"/>
  <c r="Z308" i="3"/>
  <c r="AA308" i="3"/>
  <c r="AB308" i="3"/>
  <c r="P310" i="3"/>
  <c r="P308" i="3"/>
  <c r="O308" i="3"/>
  <c r="O307" i="3" s="1"/>
  <c r="N308" i="3"/>
  <c r="N307" i="3" s="1"/>
  <c r="M308" i="3"/>
  <c r="M307" i="3" s="1"/>
  <c r="L308" i="3"/>
  <c r="L307" i="3" s="1"/>
  <c r="AB178" i="3"/>
  <c r="AA178" i="3"/>
  <c r="Z178" i="3"/>
  <c r="Y178" i="3"/>
  <c r="X178" i="3"/>
  <c r="U178" i="3"/>
  <c r="T178" i="3"/>
  <c r="S178" i="3"/>
  <c r="P178" i="3"/>
  <c r="AB640" i="3"/>
  <c r="AA640" i="3"/>
  <c r="AB639" i="3"/>
  <c r="AA639" i="3"/>
  <c r="Z640" i="3"/>
  <c r="Z639" i="3" s="1"/>
  <c r="V641" i="3"/>
  <c r="Y640" i="3"/>
  <c r="Y639" i="3" s="1"/>
  <c r="X640" i="3"/>
  <c r="X639" i="3" s="1"/>
  <c r="W640" i="3"/>
  <c r="W639" i="3" s="1"/>
  <c r="V640" i="3"/>
  <c r="V639" i="3" s="1"/>
  <c r="U640" i="3"/>
  <c r="U639" i="3" s="1"/>
  <c r="Q641" i="3"/>
  <c r="T640" i="3"/>
  <c r="T639" i="3" s="1"/>
  <c r="S640" i="3"/>
  <c r="S639" i="3" s="1"/>
  <c r="R640" i="3"/>
  <c r="R639" i="3" s="1"/>
  <c r="Q640" i="3"/>
  <c r="P640" i="3"/>
  <c r="P639" i="3" s="1"/>
  <c r="O640" i="3"/>
  <c r="O639" i="3" s="1"/>
  <c r="N640" i="3"/>
  <c r="N639" i="3" s="1"/>
  <c r="Q639" i="3"/>
  <c r="W156" i="3"/>
  <c r="W155" i="3" s="1"/>
  <c r="AB162" i="3"/>
  <c r="AA162" i="3"/>
  <c r="Z162" i="3"/>
  <c r="Y162" i="3"/>
  <c r="X162" i="3"/>
  <c r="V162" i="3"/>
  <c r="U162" i="3"/>
  <c r="T162" i="3"/>
  <c r="T161" i="3" s="1"/>
  <c r="T157" i="3" s="1"/>
  <c r="S162" i="3"/>
  <c r="S161" i="3" s="1"/>
  <c r="S157" i="3" s="1"/>
  <c r="R162" i="3"/>
  <c r="R161" i="3" s="1"/>
  <c r="R157" i="3" s="1"/>
  <c r="Q162" i="3"/>
  <c r="Q161" i="3" s="1"/>
  <c r="Q157" i="3" s="1"/>
  <c r="P162" i="3"/>
  <c r="P161" i="3" s="1"/>
  <c r="P157" i="3" s="1"/>
  <c r="AB161" i="3"/>
  <c r="AA161" i="3"/>
  <c r="Z161" i="3"/>
  <c r="Y161" i="3"/>
  <c r="X161" i="3"/>
  <c r="V161" i="3"/>
  <c r="U161" i="3"/>
  <c r="R34" i="5"/>
  <c r="AB307" i="3" l="1"/>
  <c r="Z307" i="3"/>
  <c r="X307" i="3"/>
  <c r="V307" i="3"/>
  <c r="U157" i="3"/>
  <c r="U156" i="3" s="1"/>
  <c r="U155" i="3" s="1"/>
  <c r="X157" i="3"/>
  <c r="X156" i="3" s="1"/>
  <c r="X155" i="3" s="1"/>
  <c r="Z157" i="3"/>
  <c r="Z156" i="3" s="1"/>
  <c r="Z155" i="3" s="1"/>
  <c r="AB157" i="3"/>
  <c r="AB156" i="3" s="1"/>
  <c r="AB155" i="3" s="1"/>
  <c r="V157" i="3"/>
  <c r="V156" i="3" s="1"/>
  <c r="V155" i="3" s="1"/>
  <c r="Y157" i="3"/>
  <c r="Y156" i="3" s="1"/>
  <c r="Y155" i="3" s="1"/>
  <c r="AA157" i="3"/>
  <c r="AA156" i="3" s="1"/>
  <c r="AA155" i="3" s="1"/>
  <c r="Q307" i="3"/>
  <c r="S156" i="3"/>
  <c r="S155" i="3" s="1"/>
  <c r="P156" i="3"/>
  <c r="P155" i="3" s="1"/>
  <c r="T156" i="3"/>
  <c r="T155" i="3" s="1"/>
  <c r="R307" i="3"/>
  <c r="AA307" i="3"/>
  <c r="Y307" i="3"/>
  <c r="W307" i="3"/>
  <c r="U307" i="3"/>
  <c r="P307" i="3"/>
  <c r="T307" i="3"/>
  <c r="S307" i="3"/>
  <c r="R62" i="5"/>
  <c r="R61" i="5" s="1"/>
  <c r="T63" i="5"/>
  <c r="Z62" i="5"/>
  <c r="Y62" i="5"/>
  <c r="X62" i="5"/>
  <c r="W62" i="5"/>
  <c r="V62" i="5"/>
  <c r="T62" i="5"/>
  <c r="S62" i="5"/>
  <c r="P62" i="5"/>
  <c r="O62" i="5"/>
  <c r="N62" i="5"/>
  <c r="M62" i="5"/>
  <c r="L62" i="5"/>
  <c r="Z61" i="5"/>
  <c r="Y61" i="5"/>
  <c r="X61" i="5"/>
  <c r="W61" i="5"/>
  <c r="V61" i="5"/>
  <c r="T61" i="5"/>
  <c r="S61" i="5"/>
  <c r="P61" i="5"/>
  <c r="O61" i="5"/>
  <c r="N61" i="5"/>
  <c r="M61" i="5"/>
  <c r="L61" i="5"/>
  <c r="Q62" i="5" l="1"/>
  <c r="Q61" i="5" s="1"/>
  <c r="V744" i="3" l="1"/>
  <c r="V743" i="3" s="1"/>
  <c r="V742" i="3" s="1"/>
  <c r="T743" i="3"/>
  <c r="T742" i="3" s="1"/>
  <c r="AB743" i="3"/>
  <c r="AB742" i="3" s="1"/>
  <c r="AA743" i="3"/>
  <c r="AA742" i="3" s="1"/>
  <c r="Z743" i="3"/>
  <c r="Z742" i="3" s="1"/>
  <c r="Y743" i="3"/>
  <c r="Y742" i="3" s="1"/>
  <c r="X743" i="3"/>
  <c r="X742" i="3" s="1"/>
  <c r="U743" i="3"/>
  <c r="U742" i="3" s="1"/>
  <c r="R743" i="3"/>
  <c r="R742" i="3" s="1"/>
  <c r="Q743" i="3"/>
  <c r="Q742" i="3" s="1"/>
  <c r="P743" i="3"/>
  <c r="P742" i="3" s="1"/>
  <c r="O743" i="3"/>
  <c r="O742" i="3" s="1"/>
  <c r="N743" i="3"/>
  <c r="N742" i="3" s="1"/>
  <c r="S743" i="3" l="1"/>
  <c r="S742" i="3" s="1"/>
  <c r="AB697" i="3"/>
  <c r="AB696" i="3" s="1"/>
  <c r="AA697" i="3"/>
  <c r="Z697" i="3"/>
  <c r="Z696" i="3" s="1"/>
  <c r="Y697" i="3"/>
  <c r="Y696" i="3" s="1"/>
  <c r="X697" i="3"/>
  <c r="X696" i="3" s="1"/>
  <c r="AA696" i="3"/>
  <c r="T697" i="3"/>
  <c r="T696" i="3" s="1"/>
  <c r="V698" i="3"/>
  <c r="V697" i="3" s="1"/>
  <c r="V696" i="3" s="1"/>
  <c r="U697" i="3"/>
  <c r="R697" i="3"/>
  <c r="R696" i="3" s="1"/>
  <c r="Q697" i="3"/>
  <c r="Q696" i="3" s="1"/>
  <c r="P697" i="3"/>
  <c r="P696" i="3" s="1"/>
  <c r="O697" i="3"/>
  <c r="O696" i="3" s="1"/>
  <c r="N697" i="3"/>
  <c r="N696" i="3" s="1"/>
  <c r="U696" i="3"/>
  <c r="T695" i="3"/>
  <c r="S697" i="3" l="1"/>
  <c r="S696" i="3" s="1"/>
  <c r="Z306" i="5"/>
  <c r="Z305" i="5" s="1"/>
  <c r="Y306" i="5"/>
  <c r="Y305" i="5" s="1"/>
  <c r="X306" i="5"/>
  <c r="X305" i="5" s="1"/>
  <c r="W306" i="5"/>
  <c r="W305" i="5" s="1"/>
  <c r="V306" i="5"/>
  <c r="V305" i="5" s="1"/>
  <c r="U306" i="5"/>
  <c r="U305" i="5" s="1"/>
  <c r="T306" i="5"/>
  <c r="T305" i="5" s="1"/>
  <c r="S306" i="5"/>
  <c r="S305" i="5" s="1"/>
  <c r="R306" i="5"/>
  <c r="R305" i="5" s="1"/>
  <c r="Q306" i="5"/>
  <c r="Q305" i="5" s="1"/>
  <c r="P306" i="5"/>
  <c r="P305" i="5" s="1"/>
  <c r="O306" i="5"/>
  <c r="O305" i="5" s="1"/>
  <c r="N306" i="5"/>
  <c r="N305" i="5" s="1"/>
  <c r="M306" i="5"/>
  <c r="M305" i="5" s="1"/>
  <c r="L306" i="5"/>
  <c r="L305" i="5" s="1"/>
  <c r="K306" i="5"/>
  <c r="K305" i="5" s="1"/>
  <c r="J306" i="5"/>
  <c r="J305" i="5" s="1"/>
  <c r="AB73" i="3"/>
  <c r="AB72" i="3" s="1"/>
  <c r="AA73" i="3"/>
  <c r="AA72" i="3" s="1"/>
  <c r="Z73" i="3"/>
  <c r="Z72" i="3" s="1"/>
  <c r="Y73" i="3"/>
  <c r="Y72" i="3" s="1"/>
  <c r="X73" i="3"/>
  <c r="X72" i="3" s="1"/>
  <c r="W73" i="3"/>
  <c r="W72" i="3" s="1"/>
  <c r="V73" i="3"/>
  <c r="V72" i="3" s="1"/>
  <c r="U73" i="3"/>
  <c r="U72" i="3" s="1"/>
  <c r="T73" i="3"/>
  <c r="T72" i="3" s="1"/>
  <c r="S73" i="3"/>
  <c r="S72" i="3" s="1"/>
  <c r="R73" i="3"/>
  <c r="R72" i="3" s="1"/>
  <c r="Q73" i="3"/>
  <c r="P73" i="3"/>
  <c r="P72" i="3" s="1"/>
  <c r="O73" i="3"/>
  <c r="O72" i="3" s="1"/>
  <c r="N73" i="3"/>
  <c r="N72" i="3" s="1"/>
  <c r="M73" i="3"/>
  <c r="M72" i="3" s="1"/>
  <c r="L73" i="3"/>
  <c r="L72" i="3" s="1"/>
  <c r="Q72" i="3"/>
  <c r="M315" i="5" l="1"/>
  <c r="M314" i="5" s="1"/>
  <c r="L315" i="5"/>
  <c r="L314" i="5" s="1"/>
  <c r="AB144" i="3"/>
  <c r="AB143" i="3" s="1"/>
  <c r="AA144" i="3"/>
  <c r="AA143" i="3" s="1"/>
  <c r="Z144" i="3"/>
  <c r="Z143" i="3" s="1"/>
  <c r="Y144" i="3"/>
  <c r="Y143" i="3" s="1"/>
  <c r="X144" i="3"/>
  <c r="X143" i="3" s="1"/>
  <c r="T144" i="3"/>
  <c r="T143" i="3" s="1"/>
  <c r="V144" i="3"/>
  <c r="V143" i="3" s="1"/>
  <c r="U144" i="3"/>
  <c r="U143" i="3" s="1"/>
  <c r="S144" i="3"/>
  <c r="S143" i="3" s="1"/>
  <c r="R144" i="3"/>
  <c r="R143" i="3" s="1"/>
  <c r="Q144" i="3"/>
  <c r="P144" i="3"/>
  <c r="P143" i="3" s="1"/>
  <c r="O144" i="3"/>
  <c r="O143" i="3" s="1"/>
  <c r="N144" i="3"/>
  <c r="N143" i="3" s="1"/>
  <c r="Q143" i="3"/>
  <c r="J20" i="5" l="1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K27" i="5"/>
  <c r="K24" i="5" s="1"/>
  <c r="L27" i="5"/>
  <c r="M27" i="5"/>
  <c r="M24" i="5" s="1"/>
  <c r="N27" i="5"/>
  <c r="P27" i="5"/>
  <c r="Q27" i="5"/>
  <c r="R27" i="5"/>
  <c r="U27" i="5"/>
  <c r="V27" i="5"/>
  <c r="Y27" i="5"/>
  <c r="J28" i="5"/>
  <c r="J27" i="5" s="1"/>
  <c r="O28" i="5"/>
  <c r="O27" i="5" s="1"/>
  <c r="S28" i="5"/>
  <c r="S27" i="5" s="1"/>
  <c r="S24" i="5" s="1"/>
  <c r="T28" i="5"/>
  <c r="T27" i="5" s="1"/>
  <c r="W27" i="5"/>
  <c r="W24" i="5" s="1"/>
  <c r="X28" i="5"/>
  <c r="X27" i="5" s="1"/>
  <c r="Z28" i="5"/>
  <c r="Z27" i="5" s="1"/>
  <c r="J30" i="5"/>
  <c r="J29" i="5" s="1"/>
  <c r="K30" i="5"/>
  <c r="K29" i="5" s="1"/>
  <c r="L30" i="5"/>
  <c r="L29" i="5" s="1"/>
  <c r="M30" i="5"/>
  <c r="M29" i="5" s="1"/>
  <c r="N30" i="5"/>
  <c r="N29" i="5" s="1"/>
  <c r="O30" i="5"/>
  <c r="O29" i="5" s="1"/>
  <c r="P30" i="5"/>
  <c r="P29" i="5" s="1"/>
  <c r="Q30" i="5"/>
  <c r="Q29" i="5" s="1"/>
  <c r="S30" i="5"/>
  <c r="S29" i="5" s="1"/>
  <c r="T30" i="5"/>
  <c r="T29" i="5" s="1"/>
  <c r="U30" i="5"/>
  <c r="U29" i="5" s="1"/>
  <c r="V30" i="5"/>
  <c r="V29" i="5" s="1"/>
  <c r="W30" i="5"/>
  <c r="W29" i="5" s="1"/>
  <c r="X30" i="5"/>
  <c r="X29" i="5" s="1"/>
  <c r="Y30" i="5"/>
  <c r="Y29" i="5" s="1"/>
  <c r="Z30" i="5"/>
  <c r="Z29" i="5" s="1"/>
  <c r="R31" i="5"/>
  <c r="R30" i="5" s="1"/>
  <c r="R29" i="5" s="1"/>
  <c r="J33" i="5"/>
  <c r="J32" i="5" s="1"/>
  <c r="K33" i="5"/>
  <c r="K32" i="5" s="1"/>
  <c r="L33" i="5"/>
  <c r="L32" i="5" s="1"/>
  <c r="M33" i="5"/>
  <c r="M32" i="5" s="1"/>
  <c r="N33" i="5"/>
  <c r="N32" i="5" s="1"/>
  <c r="O33" i="5"/>
  <c r="O32" i="5" s="1"/>
  <c r="P33" i="5"/>
  <c r="P32" i="5" s="1"/>
  <c r="Q33" i="5"/>
  <c r="Q32" i="5" s="1"/>
  <c r="R33" i="5"/>
  <c r="R32" i="5" s="1"/>
  <c r="S33" i="5"/>
  <c r="S32" i="5" s="1"/>
  <c r="T33" i="5"/>
  <c r="T32" i="5" s="1"/>
  <c r="U33" i="5"/>
  <c r="U32" i="5" s="1"/>
  <c r="V33" i="5"/>
  <c r="V32" i="5" s="1"/>
  <c r="W33" i="5"/>
  <c r="W32" i="5" s="1"/>
  <c r="X33" i="5"/>
  <c r="X32" i="5" s="1"/>
  <c r="Y33" i="5"/>
  <c r="Y32" i="5" s="1"/>
  <c r="Z33" i="5"/>
  <c r="Z32" i="5" s="1"/>
  <c r="K36" i="5"/>
  <c r="K35" i="5" s="1"/>
  <c r="L36" i="5"/>
  <c r="L35" i="5" s="1"/>
  <c r="M36" i="5"/>
  <c r="M35" i="5" s="1"/>
  <c r="N36" i="5"/>
  <c r="N35" i="5" s="1"/>
  <c r="O36" i="5"/>
  <c r="O35" i="5" s="1"/>
  <c r="P36" i="5"/>
  <c r="P35" i="5" s="1"/>
  <c r="Q36" i="5"/>
  <c r="Q35" i="5" s="1"/>
  <c r="S36" i="5"/>
  <c r="S35" i="5" s="1"/>
  <c r="T36" i="5"/>
  <c r="T35" i="5" s="1"/>
  <c r="U36" i="5"/>
  <c r="U35" i="5" s="1"/>
  <c r="V36" i="5"/>
  <c r="V35" i="5" s="1"/>
  <c r="W36" i="5"/>
  <c r="W35" i="5" s="1"/>
  <c r="X36" i="5"/>
  <c r="X35" i="5" s="1"/>
  <c r="Y36" i="5"/>
  <c r="Y35" i="5" s="1"/>
  <c r="Z36" i="5"/>
  <c r="Z35" i="5" s="1"/>
  <c r="J37" i="5"/>
  <c r="J36" i="5" s="1"/>
  <c r="J35" i="5" s="1"/>
  <c r="R36" i="5"/>
  <c r="R35" i="5" s="1"/>
  <c r="K39" i="5"/>
  <c r="K38" i="5" s="1"/>
  <c r="L39" i="5"/>
  <c r="L38" i="5" s="1"/>
  <c r="M39" i="5"/>
  <c r="M38" i="5" s="1"/>
  <c r="N39" i="5"/>
  <c r="N38" i="5" s="1"/>
  <c r="P39" i="5"/>
  <c r="P38" i="5" s="1"/>
  <c r="Q39" i="5"/>
  <c r="Q38" i="5" s="1"/>
  <c r="S39" i="5"/>
  <c r="S38" i="5" s="1"/>
  <c r="T39" i="5"/>
  <c r="T38" i="5" s="1"/>
  <c r="U39" i="5"/>
  <c r="U38" i="5" s="1"/>
  <c r="V39" i="5"/>
  <c r="V38" i="5" s="1"/>
  <c r="X39" i="5"/>
  <c r="X38" i="5" s="1"/>
  <c r="Y39" i="5"/>
  <c r="Y38" i="5" s="1"/>
  <c r="Z39" i="5"/>
  <c r="Z38" i="5" s="1"/>
  <c r="J40" i="5"/>
  <c r="J39" i="5" s="1"/>
  <c r="J38" i="5" s="1"/>
  <c r="O40" i="5"/>
  <c r="O39" i="5" s="1"/>
  <c r="O38" i="5" s="1"/>
  <c r="R39" i="5"/>
  <c r="R38" i="5" s="1"/>
  <c r="W40" i="5"/>
  <c r="W39" i="5" s="1"/>
  <c r="W38" i="5" s="1"/>
  <c r="J42" i="5"/>
  <c r="J41" i="5" s="1"/>
  <c r="K42" i="5"/>
  <c r="K41" i="5" s="1"/>
  <c r="L42" i="5"/>
  <c r="L41" i="5" s="1"/>
  <c r="M42" i="5"/>
  <c r="M41" i="5" s="1"/>
  <c r="N42" i="5"/>
  <c r="N41" i="5" s="1"/>
  <c r="O42" i="5"/>
  <c r="O41" i="5" s="1"/>
  <c r="P42" i="5"/>
  <c r="P41" i="5" s="1"/>
  <c r="Q42" i="5"/>
  <c r="Q41" i="5" s="1"/>
  <c r="R42" i="5"/>
  <c r="R41" i="5" s="1"/>
  <c r="S42" i="5"/>
  <c r="S41" i="5" s="1"/>
  <c r="T42" i="5"/>
  <c r="T41" i="5" s="1"/>
  <c r="U42" i="5"/>
  <c r="U41" i="5" s="1"/>
  <c r="V42" i="5"/>
  <c r="V41" i="5" s="1"/>
  <c r="W42" i="5"/>
  <c r="W41" i="5" s="1"/>
  <c r="X42" i="5"/>
  <c r="X41" i="5" s="1"/>
  <c r="Y42" i="5"/>
  <c r="Y41" i="5" s="1"/>
  <c r="Z42" i="5"/>
  <c r="Z41" i="5" s="1"/>
  <c r="L45" i="5"/>
  <c r="L44" i="5" s="1"/>
  <c r="M45" i="5"/>
  <c r="M44" i="5" s="1"/>
  <c r="P45" i="5"/>
  <c r="P44" i="5" s="1"/>
  <c r="Q45" i="5"/>
  <c r="Q44" i="5" s="1"/>
  <c r="T45" i="5"/>
  <c r="T44" i="5" s="1"/>
  <c r="U45" i="5"/>
  <c r="U44" i="5" s="1"/>
  <c r="V45" i="5"/>
  <c r="V44" i="5" s="1"/>
  <c r="X45" i="5"/>
  <c r="X44" i="5" s="1"/>
  <c r="Y45" i="5"/>
  <c r="Y44" i="5" s="1"/>
  <c r="Z45" i="5"/>
  <c r="Z44" i="5" s="1"/>
  <c r="N45" i="5"/>
  <c r="N44" i="5" s="1"/>
  <c r="O46" i="5"/>
  <c r="O45" i="5" s="1"/>
  <c r="O44" i="5" s="1"/>
  <c r="M48" i="5"/>
  <c r="M47" i="5" s="1"/>
  <c r="O48" i="5"/>
  <c r="O47" i="5" s="1"/>
  <c r="P48" i="5"/>
  <c r="P47" i="5" s="1"/>
  <c r="Q48" i="5"/>
  <c r="Q47" i="5" s="1"/>
  <c r="S48" i="5"/>
  <c r="S47" i="5" s="1"/>
  <c r="T48" i="5"/>
  <c r="T47" i="5" s="1"/>
  <c r="U48" i="5"/>
  <c r="U47" i="5" s="1"/>
  <c r="V48" i="5"/>
  <c r="V47" i="5" s="1"/>
  <c r="W48" i="5"/>
  <c r="W47" i="5" s="1"/>
  <c r="X48" i="5"/>
  <c r="X47" i="5" s="1"/>
  <c r="Y48" i="5"/>
  <c r="Y47" i="5" s="1"/>
  <c r="Z48" i="5"/>
  <c r="Z47" i="5" s="1"/>
  <c r="L49" i="5"/>
  <c r="L48" i="5" s="1"/>
  <c r="L47" i="5" s="1"/>
  <c r="N48" i="5"/>
  <c r="N47" i="5" s="1"/>
  <c r="J54" i="5"/>
  <c r="J53" i="5" s="1"/>
  <c r="K54" i="5"/>
  <c r="K53" i="5" s="1"/>
  <c r="L54" i="5"/>
  <c r="L53" i="5" s="1"/>
  <c r="M54" i="5"/>
  <c r="M53" i="5" s="1"/>
  <c r="N54" i="5"/>
  <c r="N53" i="5" s="1"/>
  <c r="O54" i="5"/>
  <c r="O53" i="5" s="1"/>
  <c r="P54" i="5"/>
  <c r="P53" i="5" s="1"/>
  <c r="S54" i="5"/>
  <c r="S53" i="5" s="1"/>
  <c r="T54" i="5"/>
  <c r="T53" i="5" s="1"/>
  <c r="V54" i="5"/>
  <c r="V53" i="5" s="1"/>
  <c r="W54" i="5"/>
  <c r="W53" i="5" s="1"/>
  <c r="X54" i="5"/>
  <c r="X53" i="5" s="1"/>
  <c r="Y54" i="5"/>
  <c r="Y53" i="5" s="1"/>
  <c r="Z54" i="5"/>
  <c r="Z53" i="5" s="1"/>
  <c r="Q54" i="5"/>
  <c r="Q53" i="5" s="1"/>
  <c r="J59" i="5"/>
  <c r="J56" i="5" s="1"/>
  <c r="K59" i="5"/>
  <c r="K56" i="5" s="1"/>
  <c r="L59" i="5"/>
  <c r="L56" i="5" s="1"/>
  <c r="M59" i="5"/>
  <c r="M56" i="5" s="1"/>
  <c r="N59" i="5"/>
  <c r="O59" i="5"/>
  <c r="O56" i="5" s="1"/>
  <c r="P59" i="5"/>
  <c r="P56" i="5" s="1"/>
  <c r="S59" i="5"/>
  <c r="S56" i="5" s="1"/>
  <c r="T59" i="5"/>
  <c r="T56" i="5" s="1"/>
  <c r="U59" i="5"/>
  <c r="U56" i="5" s="1"/>
  <c r="V59" i="5"/>
  <c r="V56" i="5" s="1"/>
  <c r="W59" i="5"/>
  <c r="W56" i="5" s="1"/>
  <c r="X59" i="5"/>
  <c r="X56" i="5" s="1"/>
  <c r="Y59" i="5"/>
  <c r="Y56" i="5" s="1"/>
  <c r="Z59" i="5"/>
  <c r="Z56" i="5" s="1"/>
  <c r="Q59" i="5"/>
  <c r="Q56" i="5" s="1"/>
  <c r="J67" i="5"/>
  <c r="J66" i="5" s="1"/>
  <c r="K67" i="5"/>
  <c r="K66" i="5" s="1"/>
  <c r="L67" i="5"/>
  <c r="L66" i="5" s="1"/>
  <c r="M67" i="5"/>
  <c r="M66" i="5" s="1"/>
  <c r="O67" i="5"/>
  <c r="O66" i="5" s="1"/>
  <c r="P67" i="5"/>
  <c r="P66" i="5" s="1"/>
  <c r="Q67" i="5"/>
  <c r="Q66" i="5" s="1"/>
  <c r="S67" i="5"/>
  <c r="S66" i="5" s="1"/>
  <c r="T67" i="5"/>
  <c r="T66" i="5" s="1"/>
  <c r="U67" i="5"/>
  <c r="U66" i="5" s="1"/>
  <c r="V67" i="5"/>
  <c r="V66" i="5" s="1"/>
  <c r="W67" i="5"/>
  <c r="W66" i="5" s="1"/>
  <c r="X67" i="5"/>
  <c r="X66" i="5" s="1"/>
  <c r="Y67" i="5"/>
  <c r="Y66" i="5" s="1"/>
  <c r="Z67" i="5"/>
  <c r="Z66" i="5" s="1"/>
  <c r="J70" i="5"/>
  <c r="J69" i="5" s="1"/>
  <c r="K70" i="5"/>
  <c r="K69" i="5" s="1"/>
  <c r="L70" i="5"/>
  <c r="L69" i="5" s="1"/>
  <c r="M70" i="5"/>
  <c r="M69" i="5" s="1"/>
  <c r="N70" i="5"/>
  <c r="N69" i="5" s="1"/>
  <c r="O70" i="5"/>
  <c r="O69" i="5" s="1"/>
  <c r="P70" i="5"/>
  <c r="P69" i="5" s="1"/>
  <c r="Q70" i="5"/>
  <c r="Q69" i="5" s="1"/>
  <c r="S70" i="5"/>
  <c r="S69" i="5" s="1"/>
  <c r="T70" i="5"/>
  <c r="T69" i="5" s="1"/>
  <c r="U70" i="5"/>
  <c r="U69" i="5" s="1"/>
  <c r="V70" i="5"/>
  <c r="V69" i="5" s="1"/>
  <c r="W70" i="5"/>
  <c r="W69" i="5" s="1"/>
  <c r="X70" i="5"/>
  <c r="X69" i="5" s="1"/>
  <c r="Y70" i="5"/>
  <c r="Y69" i="5" s="1"/>
  <c r="Z70" i="5"/>
  <c r="Z69" i="5" s="1"/>
  <c r="R71" i="5"/>
  <c r="R70" i="5" s="1"/>
  <c r="R69" i="5" s="1"/>
  <c r="J73" i="5"/>
  <c r="J72" i="5" s="1"/>
  <c r="K73" i="5"/>
  <c r="K72" i="5" s="1"/>
  <c r="L73" i="5"/>
  <c r="L72" i="5" s="1"/>
  <c r="M73" i="5"/>
  <c r="M72" i="5" s="1"/>
  <c r="N73" i="5"/>
  <c r="N72" i="5" s="1"/>
  <c r="O73" i="5"/>
  <c r="O72" i="5" s="1"/>
  <c r="P73" i="5"/>
  <c r="P72" i="5" s="1"/>
  <c r="Q73" i="5"/>
  <c r="Q72" i="5" s="1"/>
  <c r="R73" i="5"/>
  <c r="R72" i="5" s="1"/>
  <c r="S73" i="5"/>
  <c r="S72" i="5" s="1"/>
  <c r="T73" i="5"/>
  <c r="T72" i="5" s="1"/>
  <c r="U73" i="5"/>
  <c r="U72" i="5" s="1"/>
  <c r="V73" i="5"/>
  <c r="V72" i="5" s="1"/>
  <c r="W73" i="5"/>
  <c r="W72" i="5" s="1"/>
  <c r="X73" i="5"/>
  <c r="X72" i="5" s="1"/>
  <c r="Y73" i="5"/>
  <c r="Y72" i="5" s="1"/>
  <c r="Z73" i="5"/>
  <c r="Z72" i="5" s="1"/>
  <c r="J76" i="5"/>
  <c r="J75" i="5" s="1"/>
  <c r="K76" i="5"/>
  <c r="K75" i="5" s="1"/>
  <c r="Q76" i="5"/>
  <c r="Q75" i="5" s="1"/>
  <c r="V76" i="5"/>
  <c r="V75" i="5" s="1"/>
  <c r="W76" i="5"/>
  <c r="W75" i="5" s="1"/>
  <c r="Y76" i="5"/>
  <c r="Y75" i="5" s="1"/>
  <c r="Z76" i="5"/>
  <c r="Z75" i="5" s="1"/>
  <c r="L77" i="5"/>
  <c r="L76" i="5" s="1"/>
  <c r="L75" i="5" s="1"/>
  <c r="M77" i="5"/>
  <c r="O77" i="5"/>
  <c r="O76" i="5" s="1"/>
  <c r="O75" i="5" s="1"/>
  <c r="P77" i="5"/>
  <c r="P76" i="5" s="1"/>
  <c r="P75" i="5" s="1"/>
  <c r="T77" i="5"/>
  <c r="T76" i="5" s="1"/>
  <c r="T75" i="5" s="1"/>
  <c r="U77" i="5"/>
  <c r="Q79" i="5"/>
  <c r="Q78" i="5" s="1"/>
  <c r="V79" i="5"/>
  <c r="V78" i="5" s="1"/>
  <c r="W79" i="5"/>
  <c r="W78" i="5" s="1"/>
  <c r="Y79" i="5"/>
  <c r="Y78" i="5" s="1"/>
  <c r="Z79" i="5"/>
  <c r="Z78" i="5" s="1"/>
  <c r="L80" i="5"/>
  <c r="L79" i="5" s="1"/>
  <c r="L78" i="5" s="1"/>
  <c r="M80" i="5"/>
  <c r="M79" i="5" s="1"/>
  <c r="M78" i="5" s="1"/>
  <c r="O80" i="5"/>
  <c r="O79" i="5" s="1"/>
  <c r="O78" i="5" s="1"/>
  <c r="P80" i="5"/>
  <c r="T80" i="5"/>
  <c r="T79" i="5" s="1"/>
  <c r="T78" i="5" s="1"/>
  <c r="U80" i="5"/>
  <c r="U79" i="5" s="1"/>
  <c r="U78" i="5" s="1"/>
  <c r="J82" i="5"/>
  <c r="J81" i="5" s="1"/>
  <c r="K82" i="5"/>
  <c r="K81" i="5" s="1"/>
  <c r="L82" i="5"/>
  <c r="L81" i="5" s="1"/>
  <c r="M82" i="5"/>
  <c r="M81" i="5" s="1"/>
  <c r="N82" i="5"/>
  <c r="O82" i="5"/>
  <c r="O81" i="5" s="1"/>
  <c r="P82" i="5"/>
  <c r="P81" i="5" s="1"/>
  <c r="S82" i="5"/>
  <c r="S81" i="5" s="1"/>
  <c r="T82" i="5"/>
  <c r="T81" i="5" s="1"/>
  <c r="U82" i="5"/>
  <c r="U81" i="5" s="1"/>
  <c r="V82" i="5"/>
  <c r="V81" i="5" s="1"/>
  <c r="W82" i="5"/>
  <c r="W81" i="5" s="1"/>
  <c r="X82" i="5"/>
  <c r="X81" i="5" s="1"/>
  <c r="Y82" i="5"/>
  <c r="Y81" i="5" s="1"/>
  <c r="Z82" i="5"/>
  <c r="Z81" i="5" s="1"/>
  <c r="Q82" i="5"/>
  <c r="Q81" i="5" s="1"/>
  <c r="J85" i="5"/>
  <c r="J84" i="5" s="1"/>
  <c r="K85" i="5"/>
  <c r="K84" i="5" s="1"/>
  <c r="L85" i="5"/>
  <c r="L84" i="5" s="1"/>
  <c r="M85" i="5"/>
  <c r="M84" i="5" s="1"/>
  <c r="N85" i="5"/>
  <c r="N84" i="5" s="1"/>
  <c r="O85" i="5"/>
  <c r="O84" i="5" s="1"/>
  <c r="P85" i="5"/>
  <c r="P84" i="5" s="1"/>
  <c r="S85" i="5"/>
  <c r="S84" i="5" s="1"/>
  <c r="T85" i="5"/>
  <c r="T84" i="5" s="1"/>
  <c r="U85" i="5"/>
  <c r="U84" i="5" s="1"/>
  <c r="V85" i="5"/>
  <c r="V84" i="5" s="1"/>
  <c r="W85" i="5"/>
  <c r="W84" i="5" s="1"/>
  <c r="X85" i="5"/>
  <c r="X84" i="5" s="1"/>
  <c r="Y85" i="5"/>
  <c r="Y84" i="5" s="1"/>
  <c r="Z85" i="5"/>
  <c r="Z84" i="5" s="1"/>
  <c r="Q85" i="5"/>
  <c r="Q84" i="5" s="1"/>
  <c r="J88" i="5"/>
  <c r="K88" i="5"/>
  <c r="J91" i="5"/>
  <c r="J90" i="5" s="1"/>
  <c r="J89" i="5" s="1"/>
  <c r="K91" i="5"/>
  <c r="K90" i="5" s="1"/>
  <c r="K89" i="5" s="1"/>
  <c r="L91" i="5"/>
  <c r="L90" i="5" s="1"/>
  <c r="L89" i="5" s="1"/>
  <c r="M91" i="5"/>
  <c r="M90" i="5" s="1"/>
  <c r="M89" i="5" s="1"/>
  <c r="N91" i="5"/>
  <c r="N90" i="5" s="1"/>
  <c r="N89" i="5" s="1"/>
  <c r="O91" i="5"/>
  <c r="O90" i="5" s="1"/>
  <c r="O89" i="5" s="1"/>
  <c r="P91" i="5"/>
  <c r="P90" i="5" s="1"/>
  <c r="P89" i="5" s="1"/>
  <c r="Q91" i="5"/>
  <c r="Q90" i="5" s="1"/>
  <c r="Q89" i="5" s="1"/>
  <c r="R91" i="5"/>
  <c r="R90" i="5" s="1"/>
  <c r="R89" i="5" s="1"/>
  <c r="S91" i="5"/>
  <c r="S90" i="5" s="1"/>
  <c r="S89" i="5" s="1"/>
  <c r="T91" i="5"/>
  <c r="T90" i="5" s="1"/>
  <c r="T89" i="5" s="1"/>
  <c r="U91" i="5"/>
  <c r="U90" i="5" s="1"/>
  <c r="U89" i="5" s="1"/>
  <c r="V91" i="5"/>
  <c r="V90" i="5" s="1"/>
  <c r="V89" i="5" s="1"/>
  <c r="W91" i="5"/>
  <c r="W90" i="5" s="1"/>
  <c r="W89" i="5" s="1"/>
  <c r="X91" i="5"/>
  <c r="X90" i="5" s="1"/>
  <c r="X89" i="5" s="1"/>
  <c r="Y91" i="5"/>
  <c r="Y90" i="5" s="1"/>
  <c r="Y89" i="5" s="1"/>
  <c r="Z91" i="5"/>
  <c r="Z90" i="5" s="1"/>
  <c r="Z89" i="5" s="1"/>
  <c r="J94" i="5"/>
  <c r="J93" i="5" s="1"/>
  <c r="J92" i="5" s="1"/>
  <c r="K94" i="5"/>
  <c r="K93" i="5" s="1"/>
  <c r="K92" i="5" s="1"/>
  <c r="L94" i="5"/>
  <c r="L93" i="5" s="1"/>
  <c r="L92" i="5" s="1"/>
  <c r="M94" i="5"/>
  <c r="M93" i="5" s="1"/>
  <c r="M92" i="5" s="1"/>
  <c r="N94" i="5"/>
  <c r="N93" i="5" s="1"/>
  <c r="N92" i="5" s="1"/>
  <c r="O94" i="5"/>
  <c r="O93" i="5" s="1"/>
  <c r="O92" i="5" s="1"/>
  <c r="P94" i="5"/>
  <c r="P93" i="5" s="1"/>
  <c r="P92" i="5" s="1"/>
  <c r="Q94" i="5"/>
  <c r="Q93" i="5" s="1"/>
  <c r="Q92" i="5" s="1"/>
  <c r="R94" i="5"/>
  <c r="R93" i="5" s="1"/>
  <c r="R92" i="5" s="1"/>
  <c r="S94" i="5"/>
  <c r="S93" i="5" s="1"/>
  <c r="S92" i="5" s="1"/>
  <c r="T94" i="5"/>
  <c r="T93" i="5" s="1"/>
  <c r="T92" i="5" s="1"/>
  <c r="U94" i="5"/>
  <c r="U93" i="5" s="1"/>
  <c r="U92" i="5" s="1"/>
  <c r="V94" i="5"/>
  <c r="V93" i="5" s="1"/>
  <c r="V92" i="5" s="1"/>
  <c r="W94" i="5"/>
  <c r="W93" i="5" s="1"/>
  <c r="W92" i="5" s="1"/>
  <c r="X94" i="5"/>
  <c r="X93" i="5" s="1"/>
  <c r="X92" i="5" s="1"/>
  <c r="Y94" i="5"/>
  <c r="Y93" i="5" s="1"/>
  <c r="Y92" i="5" s="1"/>
  <c r="Z94" i="5"/>
  <c r="Z93" i="5" s="1"/>
  <c r="Z92" i="5" s="1"/>
  <c r="J97" i="5"/>
  <c r="J96" i="5" s="1"/>
  <c r="J95" i="5" s="1"/>
  <c r="K97" i="5"/>
  <c r="K96" i="5" s="1"/>
  <c r="K95" i="5" s="1"/>
  <c r="L97" i="5"/>
  <c r="L96" i="5" s="1"/>
  <c r="L95" i="5" s="1"/>
  <c r="M97" i="5"/>
  <c r="M96" i="5" s="1"/>
  <c r="M95" i="5" s="1"/>
  <c r="N97" i="5"/>
  <c r="N96" i="5" s="1"/>
  <c r="N95" i="5" s="1"/>
  <c r="O97" i="5"/>
  <c r="O96" i="5" s="1"/>
  <c r="O95" i="5" s="1"/>
  <c r="P97" i="5"/>
  <c r="P96" i="5" s="1"/>
  <c r="P95" i="5" s="1"/>
  <c r="Q97" i="5"/>
  <c r="Q96" i="5" s="1"/>
  <c r="Q95" i="5" s="1"/>
  <c r="R97" i="5"/>
  <c r="R96" i="5" s="1"/>
  <c r="R95" i="5" s="1"/>
  <c r="S97" i="5"/>
  <c r="S96" i="5" s="1"/>
  <c r="S95" i="5" s="1"/>
  <c r="T97" i="5"/>
  <c r="T96" i="5" s="1"/>
  <c r="T95" i="5" s="1"/>
  <c r="U97" i="5"/>
  <c r="U96" i="5" s="1"/>
  <c r="U95" i="5" s="1"/>
  <c r="V97" i="5"/>
  <c r="V96" i="5" s="1"/>
  <c r="V95" i="5" s="1"/>
  <c r="W97" i="5"/>
  <c r="W96" i="5" s="1"/>
  <c r="W95" i="5" s="1"/>
  <c r="X97" i="5"/>
  <c r="X96" i="5" s="1"/>
  <c r="X95" i="5" s="1"/>
  <c r="Y97" i="5"/>
  <c r="Y96" i="5" s="1"/>
  <c r="Y95" i="5" s="1"/>
  <c r="Z97" i="5"/>
  <c r="Z96" i="5" s="1"/>
  <c r="Z95" i="5" s="1"/>
  <c r="J99" i="5"/>
  <c r="J98" i="5" s="1"/>
  <c r="K99" i="5"/>
  <c r="K98" i="5" s="1"/>
  <c r="L99" i="5"/>
  <c r="L98" i="5" s="1"/>
  <c r="M99" i="5"/>
  <c r="M98" i="5" s="1"/>
  <c r="N99" i="5"/>
  <c r="N98" i="5" s="1"/>
  <c r="O99" i="5"/>
  <c r="O98" i="5" s="1"/>
  <c r="P99" i="5"/>
  <c r="P98" i="5" s="1"/>
  <c r="Q99" i="5"/>
  <c r="Q98" i="5" s="1"/>
  <c r="R99" i="5"/>
  <c r="R98" i="5" s="1"/>
  <c r="S99" i="5"/>
  <c r="S98" i="5" s="1"/>
  <c r="T99" i="5"/>
  <c r="T98" i="5" s="1"/>
  <c r="U99" i="5"/>
  <c r="U98" i="5" s="1"/>
  <c r="V99" i="5"/>
  <c r="V98" i="5" s="1"/>
  <c r="W99" i="5"/>
  <c r="W98" i="5" s="1"/>
  <c r="X99" i="5"/>
  <c r="X98" i="5" s="1"/>
  <c r="Y99" i="5"/>
  <c r="Y98" i="5" s="1"/>
  <c r="Z99" i="5"/>
  <c r="Z98" i="5" s="1"/>
  <c r="J102" i="5"/>
  <c r="J101" i="5" s="1"/>
  <c r="K102" i="5"/>
  <c r="K101" i="5" s="1"/>
  <c r="L102" i="5"/>
  <c r="L101" i="5" s="1"/>
  <c r="M102" i="5"/>
  <c r="M101" i="5" s="1"/>
  <c r="N102" i="5"/>
  <c r="N101" i="5" s="1"/>
  <c r="P102" i="5"/>
  <c r="P101" i="5" s="1"/>
  <c r="Q102" i="5"/>
  <c r="Q101" i="5" s="1"/>
  <c r="R102" i="5"/>
  <c r="R101" i="5" s="1"/>
  <c r="U102" i="5"/>
  <c r="U101" i="5" s="1"/>
  <c r="V102" i="5"/>
  <c r="V101" i="5" s="1"/>
  <c r="Y102" i="5"/>
  <c r="Y101" i="5" s="1"/>
  <c r="O103" i="5"/>
  <c r="O102" i="5" s="1"/>
  <c r="O101" i="5" s="1"/>
  <c r="S103" i="5"/>
  <c r="S102" i="5" s="1"/>
  <c r="S101" i="5" s="1"/>
  <c r="T103" i="5"/>
  <c r="T102" i="5" s="1"/>
  <c r="T101" i="5" s="1"/>
  <c r="W103" i="5"/>
  <c r="W102" i="5" s="1"/>
  <c r="W101" i="5" s="1"/>
  <c r="X103" i="5"/>
  <c r="X102" i="5" s="1"/>
  <c r="X101" i="5" s="1"/>
  <c r="Z103" i="5"/>
  <c r="Z102" i="5" s="1"/>
  <c r="Z101" i="5" s="1"/>
  <c r="J105" i="5"/>
  <c r="J104" i="5" s="1"/>
  <c r="K105" i="5"/>
  <c r="K104" i="5" s="1"/>
  <c r="L105" i="5"/>
  <c r="L104" i="5" s="1"/>
  <c r="M105" i="5"/>
  <c r="M104" i="5" s="1"/>
  <c r="N105" i="5"/>
  <c r="N104" i="5" s="1"/>
  <c r="O105" i="5"/>
  <c r="O104" i="5" s="1"/>
  <c r="P105" i="5"/>
  <c r="P104" i="5" s="1"/>
  <c r="Q105" i="5"/>
  <c r="Q104" i="5" s="1"/>
  <c r="R105" i="5"/>
  <c r="R104" i="5" s="1"/>
  <c r="S105" i="5"/>
  <c r="S104" i="5" s="1"/>
  <c r="T105" i="5"/>
  <c r="T104" i="5" s="1"/>
  <c r="U105" i="5"/>
  <c r="U104" i="5" s="1"/>
  <c r="V105" i="5"/>
  <c r="V104" i="5" s="1"/>
  <c r="W105" i="5"/>
  <c r="W104" i="5" s="1"/>
  <c r="X105" i="5"/>
  <c r="X104" i="5" s="1"/>
  <c r="Y105" i="5"/>
  <c r="Y104" i="5" s="1"/>
  <c r="Z105" i="5"/>
  <c r="Z104" i="5" s="1"/>
  <c r="J108" i="5"/>
  <c r="J107" i="5" s="1"/>
  <c r="K108" i="5"/>
  <c r="K107" i="5" s="1"/>
  <c r="L108" i="5"/>
  <c r="L107" i="5" s="1"/>
  <c r="M108" i="5"/>
  <c r="M107" i="5" s="1"/>
  <c r="N108" i="5"/>
  <c r="N107" i="5" s="1"/>
  <c r="O108" i="5"/>
  <c r="O107" i="5" s="1"/>
  <c r="P108" i="5"/>
  <c r="P107" i="5" s="1"/>
  <c r="Q108" i="5"/>
  <c r="Q107" i="5" s="1"/>
  <c r="S108" i="5"/>
  <c r="S107" i="5" s="1"/>
  <c r="T108" i="5"/>
  <c r="T107" i="5" s="1"/>
  <c r="U108" i="5"/>
  <c r="U107" i="5" s="1"/>
  <c r="V108" i="5"/>
  <c r="V107" i="5" s="1"/>
  <c r="W108" i="5"/>
  <c r="W107" i="5" s="1"/>
  <c r="X108" i="5"/>
  <c r="X107" i="5" s="1"/>
  <c r="Y108" i="5"/>
  <c r="Y107" i="5" s="1"/>
  <c r="Z108" i="5"/>
  <c r="Z107" i="5" s="1"/>
  <c r="R108" i="5"/>
  <c r="R107" i="5" s="1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X113" i="5"/>
  <c r="Y113" i="5"/>
  <c r="Z113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X115" i="5"/>
  <c r="Y115" i="5"/>
  <c r="Z115" i="5"/>
  <c r="J118" i="5"/>
  <c r="J117" i="5" s="1"/>
  <c r="K118" i="5"/>
  <c r="K117" i="5" s="1"/>
  <c r="L118" i="5"/>
  <c r="L117" i="5" s="1"/>
  <c r="M118" i="5"/>
  <c r="M117" i="5" s="1"/>
  <c r="O118" i="5"/>
  <c r="O117" i="5" s="1"/>
  <c r="P118" i="5"/>
  <c r="P117" i="5" s="1"/>
  <c r="R118" i="5"/>
  <c r="R117" i="5" s="1"/>
  <c r="S118" i="5"/>
  <c r="S117" i="5" s="1"/>
  <c r="T118" i="5"/>
  <c r="T117" i="5" s="1"/>
  <c r="U118" i="5"/>
  <c r="U117" i="5" s="1"/>
  <c r="V118" i="5"/>
  <c r="V117" i="5" s="1"/>
  <c r="W118" i="5"/>
  <c r="W117" i="5" s="1"/>
  <c r="X118" i="5"/>
  <c r="X117" i="5" s="1"/>
  <c r="Y118" i="5"/>
  <c r="Y117" i="5" s="1"/>
  <c r="Z118" i="5"/>
  <c r="Z117" i="5" s="1"/>
  <c r="N119" i="5"/>
  <c r="N118" i="5" s="1"/>
  <c r="N117" i="5" s="1"/>
  <c r="Q119" i="5"/>
  <c r="Q118" i="5" s="1"/>
  <c r="Q117" i="5" s="1"/>
  <c r="J121" i="5"/>
  <c r="J120" i="5" s="1"/>
  <c r="K121" i="5"/>
  <c r="K120" i="5" s="1"/>
  <c r="M121" i="5"/>
  <c r="M120" i="5" s="1"/>
  <c r="P121" i="5"/>
  <c r="P120" i="5" s="1"/>
  <c r="Q121" i="5"/>
  <c r="Q120" i="5" s="1"/>
  <c r="U121" i="5"/>
  <c r="U120" i="5" s="1"/>
  <c r="V121" i="5"/>
  <c r="V120" i="5" s="1"/>
  <c r="Y121" i="5"/>
  <c r="Y120" i="5" s="1"/>
  <c r="L122" i="5"/>
  <c r="L121" i="5" s="1"/>
  <c r="L120" i="5" s="1"/>
  <c r="N122" i="5"/>
  <c r="N121" i="5" s="1"/>
  <c r="N120" i="5" s="1"/>
  <c r="O122" i="5"/>
  <c r="O121" i="5" s="1"/>
  <c r="O120" i="5" s="1"/>
  <c r="R122" i="5"/>
  <c r="R121" i="5" s="1"/>
  <c r="R120" i="5" s="1"/>
  <c r="S122" i="5"/>
  <c r="S121" i="5" s="1"/>
  <c r="S120" i="5" s="1"/>
  <c r="T122" i="5"/>
  <c r="T121" i="5" s="1"/>
  <c r="T120" i="5" s="1"/>
  <c r="W122" i="5"/>
  <c r="W121" i="5" s="1"/>
  <c r="W120" i="5" s="1"/>
  <c r="X122" i="5"/>
  <c r="X121" i="5" s="1"/>
  <c r="X120" i="5" s="1"/>
  <c r="Z122" i="5"/>
  <c r="Z121" i="5" s="1"/>
  <c r="Z120" i="5" s="1"/>
  <c r="L124" i="5"/>
  <c r="L123" i="5" s="1"/>
  <c r="M124" i="5"/>
  <c r="M123" i="5" s="1"/>
  <c r="O124" i="5"/>
  <c r="O123" i="5" s="1"/>
  <c r="P124" i="5"/>
  <c r="P123" i="5" s="1"/>
  <c r="Q124" i="5"/>
  <c r="Q123" i="5" s="1"/>
  <c r="S124" i="5"/>
  <c r="S123" i="5" s="1"/>
  <c r="T124" i="5"/>
  <c r="T123" i="5" s="1"/>
  <c r="U124" i="5"/>
  <c r="U123" i="5" s="1"/>
  <c r="V124" i="5"/>
  <c r="V123" i="5" s="1"/>
  <c r="W124" i="5"/>
  <c r="W123" i="5" s="1"/>
  <c r="X124" i="5"/>
  <c r="X123" i="5" s="1"/>
  <c r="Y124" i="5"/>
  <c r="Y123" i="5" s="1"/>
  <c r="Z124" i="5"/>
  <c r="Z123" i="5" s="1"/>
  <c r="N124" i="5"/>
  <c r="N123" i="5" s="1"/>
  <c r="J132" i="5"/>
  <c r="J131" i="5" s="1"/>
  <c r="K132" i="5"/>
  <c r="K131" i="5" s="1"/>
  <c r="L132" i="5"/>
  <c r="L131" i="5" s="1"/>
  <c r="M132" i="5"/>
  <c r="M131" i="5" s="1"/>
  <c r="N132" i="5"/>
  <c r="N131" i="5" s="1"/>
  <c r="P132" i="5"/>
  <c r="P131" i="5" s="1"/>
  <c r="Q132" i="5"/>
  <c r="Q131" i="5" s="1"/>
  <c r="R132" i="5"/>
  <c r="R131" i="5" s="1"/>
  <c r="T132" i="5"/>
  <c r="T131" i="5" s="1"/>
  <c r="U132" i="5"/>
  <c r="U131" i="5" s="1"/>
  <c r="V132" i="5"/>
  <c r="V131" i="5" s="1"/>
  <c r="X132" i="5"/>
  <c r="X131" i="5" s="1"/>
  <c r="Y132" i="5"/>
  <c r="Y131" i="5" s="1"/>
  <c r="Z132" i="5"/>
  <c r="Z131" i="5" s="1"/>
  <c r="O133" i="5"/>
  <c r="O132" i="5" s="1"/>
  <c r="O131" i="5" s="1"/>
  <c r="S133" i="5"/>
  <c r="S132" i="5" s="1"/>
  <c r="S131" i="5" s="1"/>
  <c r="W133" i="5"/>
  <c r="W132" i="5" s="1"/>
  <c r="W131" i="5" s="1"/>
  <c r="J135" i="5"/>
  <c r="J134" i="5" s="1"/>
  <c r="K135" i="5"/>
  <c r="K134" i="5" s="1"/>
  <c r="L135" i="5"/>
  <c r="L134" i="5" s="1"/>
  <c r="M135" i="5"/>
  <c r="M134" i="5" s="1"/>
  <c r="N135" i="5"/>
  <c r="N134" i="5" s="1"/>
  <c r="O135" i="5"/>
  <c r="O134" i="5" s="1"/>
  <c r="P135" i="5"/>
  <c r="P134" i="5" s="1"/>
  <c r="Q135" i="5"/>
  <c r="Q134" i="5" s="1"/>
  <c r="R135" i="5"/>
  <c r="R134" i="5" s="1"/>
  <c r="S135" i="5"/>
  <c r="S134" i="5" s="1"/>
  <c r="T135" i="5"/>
  <c r="T134" i="5" s="1"/>
  <c r="U135" i="5"/>
  <c r="U134" i="5" s="1"/>
  <c r="V135" i="5"/>
  <c r="V134" i="5" s="1"/>
  <c r="W135" i="5"/>
  <c r="W134" i="5" s="1"/>
  <c r="X135" i="5"/>
  <c r="X134" i="5" s="1"/>
  <c r="Y135" i="5"/>
  <c r="Y134" i="5" s="1"/>
  <c r="Z135" i="5"/>
  <c r="Z134" i="5" s="1"/>
  <c r="L140" i="5"/>
  <c r="L137" i="5" s="1"/>
  <c r="M140" i="5"/>
  <c r="M137" i="5" s="1"/>
  <c r="N140" i="5"/>
  <c r="N137" i="5" s="1"/>
  <c r="O140" i="5"/>
  <c r="O137" i="5" s="1"/>
  <c r="P140" i="5"/>
  <c r="P137" i="5" s="1"/>
  <c r="Q140" i="5"/>
  <c r="Q137" i="5" s="1"/>
  <c r="S140" i="5"/>
  <c r="S137" i="5" s="1"/>
  <c r="T140" i="5"/>
  <c r="T137" i="5" s="1"/>
  <c r="U140" i="5"/>
  <c r="U137" i="5" s="1"/>
  <c r="V140" i="5"/>
  <c r="V137" i="5" s="1"/>
  <c r="W140" i="5"/>
  <c r="W137" i="5" s="1"/>
  <c r="X140" i="5"/>
  <c r="X137" i="5" s="1"/>
  <c r="Y140" i="5"/>
  <c r="Y137" i="5" s="1"/>
  <c r="Z140" i="5"/>
  <c r="Z137" i="5" s="1"/>
  <c r="R140" i="5"/>
  <c r="R137" i="5" s="1"/>
  <c r="J144" i="5"/>
  <c r="J143" i="5" s="1"/>
  <c r="J142" i="5" s="1"/>
  <c r="K144" i="5"/>
  <c r="K143" i="5" s="1"/>
  <c r="K142" i="5" s="1"/>
  <c r="L144" i="5"/>
  <c r="L143" i="5" s="1"/>
  <c r="M144" i="5"/>
  <c r="M143" i="5" s="1"/>
  <c r="N144" i="5"/>
  <c r="N143" i="5" s="1"/>
  <c r="O144" i="5"/>
  <c r="O143" i="5" s="1"/>
  <c r="P144" i="5"/>
  <c r="P143" i="5" s="1"/>
  <c r="Q144" i="5"/>
  <c r="Q143" i="5" s="1"/>
  <c r="R144" i="5"/>
  <c r="R143" i="5" s="1"/>
  <c r="S144" i="5"/>
  <c r="S143" i="5" s="1"/>
  <c r="T144" i="5"/>
  <c r="T143" i="5" s="1"/>
  <c r="U144" i="5"/>
  <c r="U143" i="5" s="1"/>
  <c r="V144" i="5"/>
  <c r="V143" i="5" s="1"/>
  <c r="W144" i="5"/>
  <c r="W143" i="5" s="1"/>
  <c r="X144" i="5"/>
  <c r="X143" i="5" s="1"/>
  <c r="Y144" i="5"/>
  <c r="Y143" i="5" s="1"/>
  <c r="Z144" i="5"/>
  <c r="Z143" i="5" s="1"/>
  <c r="L147" i="5"/>
  <c r="L146" i="5" s="1"/>
  <c r="M147" i="5"/>
  <c r="M146" i="5" s="1"/>
  <c r="N147" i="5"/>
  <c r="N146" i="5" s="1"/>
  <c r="P147" i="5"/>
  <c r="P146" i="5" s="1"/>
  <c r="Q147" i="5"/>
  <c r="Q146" i="5" s="1"/>
  <c r="R147" i="5"/>
  <c r="R146" i="5" s="1"/>
  <c r="T147" i="5"/>
  <c r="T146" i="5" s="1"/>
  <c r="U147" i="5"/>
  <c r="U146" i="5" s="1"/>
  <c r="V147" i="5"/>
  <c r="V146" i="5" s="1"/>
  <c r="X147" i="5"/>
  <c r="X146" i="5" s="1"/>
  <c r="Y147" i="5"/>
  <c r="Y146" i="5" s="1"/>
  <c r="Z147" i="5"/>
  <c r="Z146" i="5" s="1"/>
  <c r="O148" i="5"/>
  <c r="O147" i="5" s="1"/>
  <c r="O146" i="5" s="1"/>
  <c r="S148" i="5"/>
  <c r="S147" i="5" s="1"/>
  <c r="S146" i="5" s="1"/>
  <c r="W147" i="5"/>
  <c r="W146" i="5" s="1"/>
  <c r="L150" i="5"/>
  <c r="L149" i="5" s="1"/>
  <c r="M150" i="5"/>
  <c r="M149" i="5" s="1"/>
  <c r="N150" i="5"/>
  <c r="N149" i="5" s="1"/>
  <c r="P150" i="5"/>
  <c r="P149" i="5" s="1"/>
  <c r="Q150" i="5"/>
  <c r="Q149" i="5" s="1"/>
  <c r="R150" i="5"/>
  <c r="R149" i="5" s="1"/>
  <c r="S150" i="5"/>
  <c r="S149" i="5" s="1"/>
  <c r="T150" i="5"/>
  <c r="T149" i="5" s="1"/>
  <c r="U150" i="5"/>
  <c r="U149" i="5" s="1"/>
  <c r="V150" i="5"/>
  <c r="V149" i="5" s="1"/>
  <c r="X150" i="5"/>
  <c r="X149" i="5" s="1"/>
  <c r="Y150" i="5"/>
  <c r="Y149" i="5" s="1"/>
  <c r="O151" i="5"/>
  <c r="O150" i="5" s="1"/>
  <c r="O149" i="5" s="1"/>
  <c r="W150" i="5"/>
  <c r="W149" i="5" s="1"/>
  <c r="Z150" i="5"/>
  <c r="Z149" i="5" s="1"/>
  <c r="J155" i="5"/>
  <c r="K155" i="5"/>
  <c r="L155" i="5"/>
  <c r="M155" i="5"/>
  <c r="N155" i="5"/>
  <c r="O155" i="5"/>
  <c r="P155" i="5"/>
  <c r="Q155" i="5"/>
  <c r="R155" i="5"/>
  <c r="S155" i="5"/>
  <c r="T155" i="5"/>
  <c r="U155" i="5"/>
  <c r="V155" i="5"/>
  <c r="W155" i="5"/>
  <c r="X155" i="5"/>
  <c r="Y155" i="5"/>
  <c r="Z155" i="5"/>
  <c r="J157" i="5"/>
  <c r="K157" i="5"/>
  <c r="L157" i="5"/>
  <c r="M157" i="5"/>
  <c r="N157" i="5"/>
  <c r="O157" i="5"/>
  <c r="P157" i="5"/>
  <c r="Q157" i="5"/>
  <c r="R157" i="5"/>
  <c r="S157" i="5"/>
  <c r="T157" i="5"/>
  <c r="U157" i="5"/>
  <c r="V157" i="5"/>
  <c r="W157" i="5"/>
  <c r="X157" i="5"/>
  <c r="Y157" i="5"/>
  <c r="Z157" i="5"/>
  <c r="J160" i="5"/>
  <c r="J159" i="5" s="1"/>
  <c r="K160" i="5"/>
  <c r="K159" i="5" s="1"/>
  <c r="L160" i="5"/>
  <c r="L159" i="5" s="1"/>
  <c r="M160" i="5"/>
  <c r="M159" i="5" s="1"/>
  <c r="N160" i="5"/>
  <c r="O160" i="5"/>
  <c r="P160" i="5"/>
  <c r="Q160" i="5"/>
  <c r="S160" i="5"/>
  <c r="T160" i="5"/>
  <c r="U160" i="5"/>
  <c r="V160" i="5"/>
  <c r="W160" i="5"/>
  <c r="X160" i="5"/>
  <c r="Y160" i="5"/>
  <c r="Z160" i="5"/>
  <c r="R160" i="5"/>
  <c r="J162" i="5"/>
  <c r="K162" i="5"/>
  <c r="L162" i="5"/>
  <c r="M162" i="5"/>
  <c r="N162" i="5"/>
  <c r="O162" i="5"/>
  <c r="P162" i="5"/>
  <c r="Q162" i="5"/>
  <c r="S162" i="5"/>
  <c r="T162" i="5"/>
  <c r="U162" i="5"/>
  <c r="V162" i="5"/>
  <c r="W162" i="5"/>
  <c r="X162" i="5"/>
  <c r="Y162" i="5"/>
  <c r="Z162" i="5"/>
  <c r="R162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V168" i="5"/>
  <c r="W168" i="5"/>
  <c r="X168" i="5"/>
  <c r="Y168" i="5"/>
  <c r="Z168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V170" i="5"/>
  <c r="W170" i="5"/>
  <c r="X170" i="5"/>
  <c r="Y170" i="5"/>
  <c r="Z170" i="5"/>
  <c r="K175" i="5"/>
  <c r="K174" i="5" s="1"/>
  <c r="K173" i="5" s="1"/>
  <c r="L175" i="5"/>
  <c r="L174" i="5" s="1"/>
  <c r="L173" i="5" s="1"/>
  <c r="M175" i="5"/>
  <c r="M174" i="5" s="1"/>
  <c r="M173" i="5" s="1"/>
  <c r="N175" i="5"/>
  <c r="O175" i="5"/>
  <c r="O174" i="5" s="1"/>
  <c r="O173" i="5" s="1"/>
  <c r="P175" i="5"/>
  <c r="P174" i="5" s="1"/>
  <c r="P173" i="5" s="1"/>
  <c r="Q175" i="5"/>
  <c r="Q174" i="5" s="1"/>
  <c r="Q173" i="5" s="1"/>
  <c r="S175" i="5"/>
  <c r="S174" i="5" s="1"/>
  <c r="S173" i="5" s="1"/>
  <c r="T175" i="5"/>
  <c r="T174" i="5" s="1"/>
  <c r="T173" i="5" s="1"/>
  <c r="U175" i="5"/>
  <c r="U174" i="5" s="1"/>
  <c r="U173" i="5" s="1"/>
  <c r="V175" i="5"/>
  <c r="V174" i="5" s="1"/>
  <c r="V173" i="5" s="1"/>
  <c r="W175" i="5"/>
  <c r="W174" i="5" s="1"/>
  <c r="W173" i="5" s="1"/>
  <c r="X175" i="5"/>
  <c r="X174" i="5" s="1"/>
  <c r="X173" i="5" s="1"/>
  <c r="Y175" i="5"/>
  <c r="Y174" i="5" s="1"/>
  <c r="Y173" i="5" s="1"/>
  <c r="Z175" i="5"/>
  <c r="Z174" i="5" s="1"/>
  <c r="J176" i="5"/>
  <c r="J175" i="5" s="1"/>
  <c r="J174" i="5" s="1"/>
  <c r="J173" i="5" s="1"/>
  <c r="J184" i="5"/>
  <c r="J183" i="5" s="1"/>
  <c r="J182" i="5" s="1"/>
  <c r="K184" i="5"/>
  <c r="K183" i="5" s="1"/>
  <c r="K182" i="5" s="1"/>
  <c r="L184" i="5"/>
  <c r="L183" i="5" s="1"/>
  <c r="L182" i="5" s="1"/>
  <c r="M184" i="5"/>
  <c r="M183" i="5" s="1"/>
  <c r="M182" i="5" s="1"/>
  <c r="N184" i="5"/>
  <c r="N183" i="5" s="1"/>
  <c r="N182" i="5" s="1"/>
  <c r="O184" i="5"/>
  <c r="O183" i="5" s="1"/>
  <c r="O182" i="5" s="1"/>
  <c r="P184" i="5"/>
  <c r="P183" i="5" s="1"/>
  <c r="P182" i="5" s="1"/>
  <c r="Q184" i="5"/>
  <c r="Q183" i="5" s="1"/>
  <c r="Q182" i="5" s="1"/>
  <c r="R184" i="5"/>
  <c r="R183" i="5" s="1"/>
  <c r="R182" i="5" s="1"/>
  <c r="S184" i="5"/>
  <c r="S183" i="5" s="1"/>
  <c r="S182" i="5" s="1"/>
  <c r="T184" i="5"/>
  <c r="T183" i="5" s="1"/>
  <c r="T182" i="5" s="1"/>
  <c r="U184" i="5"/>
  <c r="U183" i="5" s="1"/>
  <c r="U182" i="5" s="1"/>
  <c r="V184" i="5"/>
  <c r="V183" i="5" s="1"/>
  <c r="V182" i="5" s="1"/>
  <c r="W184" i="5"/>
  <c r="W183" i="5" s="1"/>
  <c r="W182" i="5" s="1"/>
  <c r="X184" i="5"/>
  <c r="X183" i="5" s="1"/>
  <c r="X182" i="5" s="1"/>
  <c r="Y184" i="5"/>
  <c r="Y183" i="5" s="1"/>
  <c r="Y182" i="5" s="1"/>
  <c r="Z184" i="5"/>
  <c r="Z183" i="5" s="1"/>
  <c r="Z182" i="5" s="1"/>
  <c r="J189" i="5"/>
  <c r="J188" i="5" s="1"/>
  <c r="J187" i="5" s="1"/>
  <c r="K189" i="5"/>
  <c r="K188" i="5" s="1"/>
  <c r="K187" i="5" s="1"/>
  <c r="L189" i="5"/>
  <c r="L188" i="5" s="1"/>
  <c r="L187" i="5" s="1"/>
  <c r="M189" i="5"/>
  <c r="M188" i="5" s="1"/>
  <c r="M187" i="5" s="1"/>
  <c r="N189" i="5"/>
  <c r="N188" i="5" s="1"/>
  <c r="N187" i="5" s="1"/>
  <c r="O189" i="5"/>
  <c r="O188" i="5" s="1"/>
  <c r="O187" i="5" s="1"/>
  <c r="P189" i="5"/>
  <c r="P188" i="5" s="1"/>
  <c r="P187" i="5" s="1"/>
  <c r="Q189" i="5"/>
  <c r="Q188" i="5" s="1"/>
  <c r="Q187" i="5" s="1"/>
  <c r="S189" i="5"/>
  <c r="S188" i="5" s="1"/>
  <c r="S187" i="5" s="1"/>
  <c r="T189" i="5"/>
  <c r="T188" i="5" s="1"/>
  <c r="T187" i="5" s="1"/>
  <c r="U189" i="5"/>
  <c r="U188" i="5" s="1"/>
  <c r="U187" i="5" s="1"/>
  <c r="V189" i="5"/>
  <c r="V188" i="5" s="1"/>
  <c r="V187" i="5" s="1"/>
  <c r="W189" i="5"/>
  <c r="W188" i="5" s="1"/>
  <c r="W187" i="5" s="1"/>
  <c r="X189" i="5"/>
  <c r="X188" i="5" s="1"/>
  <c r="X187" i="5" s="1"/>
  <c r="Y189" i="5"/>
  <c r="Y188" i="5" s="1"/>
  <c r="Y187" i="5" s="1"/>
  <c r="Z189" i="5"/>
  <c r="Z188" i="5" s="1"/>
  <c r="Z187" i="5" s="1"/>
  <c r="R189" i="5"/>
  <c r="R188" i="5" s="1"/>
  <c r="R187" i="5" s="1"/>
  <c r="J195" i="5"/>
  <c r="K195" i="5"/>
  <c r="L195" i="5"/>
  <c r="M195" i="5"/>
  <c r="N195" i="5"/>
  <c r="O195" i="5"/>
  <c r="P195" i="5"/>
  <c r="Q195" i="5"/>
  <c r="R195" i="5"/>
  <c r="S195" i="5"/>
  <c r="T195" i="5"/>
  <c r="U195" i="5"/>
  <c r="V195" i="5"/>
  <c r="W195" i="5"/>
  <c r="X195" i="5"/>
  <c r="Y195" i="5"/>
  <c r="Z195" i="5"/>
  <c r="J197" i="5"/>
  <c r="K197" i="5"/>
  <c r="L197" i="5"/>
  <c r="M197" i="5"/>
  <c r="N197" i="5"/>
  <c r="O197" i="5"/>
  <c r="P197" i="5"/>
  <c r="Q197" i="5"/>
  <c r="R197" i="5"/>
  <c r="S197" i="5"/>
  <c r="T197" i="5"/>
  <c r="U197" i="5"/>
  <c r="V197" i="5"/>
  <c r="W197" i="5"/>
  <c r="X197" i="5"/>
  <c r="Y197" i="5"/>
  <c r="Z197" i="5"/>
  <c r="L203" i="5"/>
  <c r="L202" i="5" s="1"/>
  <c r="L201" i="5" s="1"/>
  <c r="M203" i="5"/>
  <c r="M202" i="5" s="1"/>
  <c r="M201" i="5" s="1"/>
  <c r="N203" i="5"/>
  <c r="N202" i="5" s="1"/>
  <c r="P203" i="5"/>
  <c r="P202" i="5" s="1"/>
  <c r="Q203" i="5"/>
  <c r="Q202" i="5" s="1"/>
  <c r="R203" i="5"/>
  <c r="R202" i="5" s="1"/>
  <c r="T203" i="5"/>
  <c r="T202" i="5" s="1"/>
  <c r="U203" i="5"/>
  <c r="U202" i="5" s="1"/>
  <c r="V203" i="5"/>
  <c r="V202" i="5" s="1"/>
  <c r="X203" i="5"/>
  <c r="X202" i="5" s="1"/>
  <c r="Y203" i="5"/>
  <c r="Y202" i="5" s="1"/>
  <c r="Z203" i="5"/>
  <c r="Z202" i="5" s="1"/>
  <c r="O204" i="5"/>
  <c r="O203" i="5" s="1"/>
  <c r="O202" i="5" s="1"/>
  <c r="S204" i="5"/>
  <c r="S203" i="5" s="1"/>
  <c r="S202" i="5" s="1"/>
  <c r="W204" i="5"/>
  <c r="W203" i="5" s="1"/>
  <c r="W202" i="5" s="1"/>
  <c r="J206" i="5"/>
  <c r="J205" i="5" s="1"/>
  <c r="J201" i="5" s="1"/>
  <c r="K206" i="5"/>
  <c r="K205" i="5" s="1"/>
  <c r="K201" i="5" s="1"/>
  <c r="L206" i="5"/>
  <c r="L205" i="5" s="1"/>
  <c r="M206" i="5"/>
  <c r="M205" i="5" s="1"/>
  <c r="N206" i="5"/>
  <c r="N205" i="5" s="1"/>
  <c r="O206" i="5"/>
  <c r="O205" i="5" s="1"/>
  <c r="P206" i="5"/>
  <c r="P205" i="5" s="1"/>
  <c r="Q206" i="5"/>
  <c r="Q205" i="5" s="1"/>
  <c r="R206" i="5"/>
  <c r="R205" i="5" s="1"/>
  <c r="S206" i="5"/>
  <c r="S205" i="5" s="1"/>
  <c r="T206" i="5"/>
  <c r="T205" i="5" s="1"/>
  <c r="U206" i="5"/>
  <c r="U205" i="5" s="1"/>
  <c r="V206" i="5"/>
  <c r="V205" i="5" s="1"/>
  <c r="W206" i="5"/>
  <c r="W205" i="5" s="1"/>
  <c r="X206" i="5"/>
  <c r="X205" i="5" s="1"/>
  <c r="Y206" i="5"/>
  <c r="Z206" i="5"/>
  <c r="L211" i="5"/>
  <c r="L210" i="5" s="1"/>
  <c r="M211" i="5"/>
  <c r="M210" i="5" s="1"/>
  <c r="N211" i="5"/>
  <c r="N210" i="5" s="1"/>
  <c r="O211" i="5"/>
  <c r="O210" i="5" s="1"/>
  <c r="P211" i="5"/>
  <c r="P210" i="5" s="1"/>
  <c r="Q211" i="5"/>
  <c r="Q210" i="5" s="1"/>
  <c r="R211" i="5"/>
  <c r="R210" i="5" s="1"/>
  <c r="S211" i="5"/>
  <c r="S210" i="5" s="1"/>
  <c r="T211" i="5"/>
  <c r="T210" i="5" s="1"/>
  <c r="U211" i="5"/>
  <c r="U210" i="5" s="1"/>
  <c r="V211" i="5"/>
  <c r="V210" i="5" s="1"/>
  <c r="W211" i="5"/>
  <c r="W210" i="5" s="1"/>
  <c r="X211" i="5"/>
  <c r="X210" i="5" s="1"/>
  <c r="Y211" i="5"/>
  <c r="Y210" i="5" s="1"/>
  <c r="Z211" i="5"/>
  <c r="Z210" i="5" s="1"/>
  <c r="L217" i="5"/>
  <c r="L216" i="5" s="1"/>
  <c r="M217" i="5"/>
  <c r="M216" i="5" s="1"/>
  <c r="N217" i="5"/>
  <c r="N216" i="5" s="1"/>
  <c r="O217" i="5"/>
  <c r="O216" i="5" s="1"/>
  <c r="P217" i="5"/>
  <c r="P216" i="5" s="1"/>
  <c r="Q217" i="5"/>
  <c r="Q216" i="5" s="1"/>
  <c r="S217" i="5"/>
  <c r="S216" i="5" s="1"/>
  <c r="T217" i="5"/>
  <c r="T216" i="5" s="1"/>
  <c r="V217" i="5"/>
  <c r="V216" i="5" s="1"/>
  <c r="W217" i="5"/>
  <c r="W216" i="5" s="1"/>
  <c r="X217" i="5"/>
  <c r="X216" i="5" s="1"/>
  <c r="Y217" i="5"/>
  <c r="Y216" i="5" s="1"/>
  <c r="Z217" i="5"/>
  <c r="Z216" i="5" s="1"/>
  <c r="R217" i="5"/>
  <c r="R216" i="5" s="1"/>
  <c r="J220" i="5"/>
  <c r="J219" i="5" s="1"/>
  <c r="K220" i="5"/>
  <c r="K219" i="5" s="1"/>
  <c r="L220" i="5"/>
  <c r="L219" i="5" s="1"/>
  <c r="M220" i="5"/>
  <c r="M219" i="5" s="1"/>
  <c r="N220" i="5"/>
  <c r="O220" i="5"/>
  <c r="O219" i="5" s="1"/>
  <c r="P220" i="5"/>
  <c r="P219" i="5" s="1"/>
  <c r="S220" i="5"/>
  <c r="S219" i="5" s="1"/>
  <c r="T220" i="5"/>
  <c r="T219" i="5" s="1"/>
  <c r="U220" i="5"/>
  <c r="U219" i="5" s="1"/>
  <c r="V220" i="5"/>
  <c r="V219" i="5" s="1"/>
  <c r="W220" i="5"/>
  <c r="W219" i="5" s="1"/>
  <c r="X220" i="5"/>
  <c r="X219" i="5" s="1"/>
  <c r="Y220" i="5"/>
  <c r="Y219" i="5" s="1"/>
  <c r="Z220" i="5"/>
  <c r="Z219" i="5" s="1"/>
  <c r="Q220" i="5"/>
  <c r="Q219" i="5" s="1"/>
  <c r="J225" i="5"/>
  <c r="J224" i="5" s="1"/>
  <c r="J223" i="5" s="1"/>
  <c r="K225" i="5"/>
  <c r="K224" i="5" s="1"/>
  <c r="K223" i="5" s="1"/>
  <c r="L225" i="5"/>
  <c r="L224" i="5" s="1"/>
  <c r="L223" i="5" s="1"/>
  <c r="M225" i="5"/>
  <c r="M224" i="5" s="1"/>
  <c r="M223" i="5" s="1"/>
  <c r="P225" i="5"/>
  <c r="P224" i="5" s="1"/>
  <c r="P223" i="5" s="1"/>
  <c r="Q225" i="5"/>
  <c r="Q224" i="5" s="1"/>
  <c r="Q223" i="5" s="1"/>
  <c r="R225" i="5"/>
  <c r="R224" i="5" s="1"/>
  <c r="R223" i="5" s="1"/>
  <c r="U225" i="5"/>
  <c r="U224" i="5" s="1"/>
  <c r="U223" i="5" s="1"/>
  <c r="V225" i="5"/>
  <c r="V224" i="5" s="1"/>
  <c r="V223" i="5" s="1"/>
  <c r="Y225" i="5"/>
  <c r="Y224" i="5" s="1"/>
  <c r="Y223" i="5" s="1"/>
  <c r="N226" i="5"/>
  <c r="N225" i="5" s="1"/>
  <c r="N224" i="5" s="1"/>
  <c r="N223" i="5" s="1"/>
  <c r="O226" i="5"/>
  <c r="O225" i="5" s="1"/>
  <c r="O224" i="5" s="1"/>
  <c r="O223" i="5" s="1"/>
  <c r="S226" i="5"/>
  <c r="S225" i="5" s="1"/>
  <c r="S224" i="5" s="1"/>
  <c r="S223" i="5" s="1"/>
  <c r="T226" i="5"/>
  <c r="T225" i="5" s="1"/>
  <c r="T224" i="5" s="1"/>
  <c r="T223" i="5" s="1"/>
  <c r="W226" i="5"/>
  <c r="W225" i="5" s="1"/>
  <c r="W224" i="5" s="1"/>
  <c r="W223" i="5" s="1"/>
  <c r="X226" i="5"/>
  <c r="X225" i="5" s="1"/>
  <c r="X224" i="5" s="1"/>
  <c r="X223" i="5" s="1"/>
  <c r="Z226" i="5"/>
  <c r="Z225" i="5" s="1"/>
  <c r="Z224" i="5" s="1"/>
  <c r="Z223" i="5" s="1"/>
  <c r="J228" i="5"/>
  <c r="K228" i="5"/>
  <c r="J230" i="5"/>
  <c r="K230" i="5"/>
  <c r="M230" i="5"/>
  <c r="P230" i="5"/>
  <c r="Q230" i="5"/>
  <c r="U230" i="5"/>
  <c r="V230" i="5"/>
  <c r="Y230" i="5"/>
  <c r="L231" i="5"/>
  <c r="L230" i="5" s="1"/>
  <c r="N231" i="5"/>
  <c r="N230" i="5" s="1"/>
  <c r="O231" i="5"/>
  <c r="O230" i="5" s="1"/>
  <c r="R231" i="5"/>
  <c r="R230" i="5" s="1"/>
  <c r="S231" i="5"/>
  <c r="S230" i="5" s="1"/>
  <c r="T231" i="5"/>
  <c r="T230" i="5" s="1"/>
  <c r="W231" i="5"/>
  <c r="W230" i="5" s="1"/>
  <c r="X231" i="5"/>
  <c r="X230" i="5" s="1"/>
  <c r="Z231" i="5"/>
  <c r="Z230" i="5" s="1"/>
  <c r="J232" i="5"/>
  <c r="K232" i="5"/>
  <c r="L232" i="5"/>
  <c r="M232" i="5"/>
  <c r="N232" i="5"/>
  <c r="P232" i="5"/>
  <c r="Q232" i="5"/>
  <c r="R232" i="5"/>
  <c r="U232" i="5"/>
  <c r="V232" i="5"/>
  <c r="Y232" i="5"/>
  <c r="O233" i="5"/>
  <c r="O232" i="5" s="1"/>
  <c r="S233" i="5"/>
  <c r="S232" i="5" s="1"/>
  <c r="T233" i="5"/>
  <c r="T232" i="5" s="1"/>
  <c r="W233" i="5"/>
  <c r="W232" i="5" s="1"/>
  <c r="X233" i="5"/>
  <c r="X232" i="5" s="1"/>
  <c r="Z233" i="5"/>
  <c r="Z232" i="5" s="1"/>
  <c r="J240" i="5"/>
  <c r="K240" i="5"/>
  <c r="L240" i="5"/>
  <c r="M240" i="5"/>
  <c r="N240" i="5"/>
  <c r="O240" i="5"/>
  <c r="P240" i="5"/>
  <c r="Q240" i="5"/>
  <c r="R240" i="5"/>
  <c r="S240" i="5"/>
  <c r="T240" i="5"/>
  <c r="U240" i="5"/>
  <c r="V240" i="5"/>
  <c r="W240" i="5"/>
  <c r="X240" i="5"/>
  <c r="Y240" i="5"/>
  <c r="Z240" i="5"/>
  <c r="J242" i="5"/>
  <c r="K242" i="5"/>
  <c r="L242" i="5"/>
  <c r="M242" i="5"/>
  <c r="N242" i="5"/>
  <c r="O242" i="5"/>
  <c r="P242" i="5"/>
  <c r="Q242" i="5"/>
  <c r="R242" i="5"/>
  <c r="S242" i="5"/>
  <c r="T242" i="5"/>
  <c r="U242" i="5"/>
  <c r="V242" i="5"/>
  <c r="W242" i="5"/>
  <c r="X242" i="5"/>
  <c r="Y242" i="5"/>
  <c r="Z242" i="5"/>
  <c r="J245" i="5"/>
  <c r="K245" i="5"/>
  <c r="L245" i="5"/>
  <c r="M245" i="5"/>
  <c r="N245" i="5"/>
  <c r="O245" i="5"/>
  <c r="P245" i="5"/>
  <c r="Q245" i="5"/>
  <c r="R245" i="5"/>
  <c r="S245" i="5"/>
  <c r="T245" i="5"/>
  <c r="U245" i="5"/>
  <c r="V245" i="5"/>
  <c r="W245" i="5"/>
  <c r="X245" i="5"/>
  <c r="Y245" i="5"/>
  <c r="Z245" i="5"/>
  <c r="J247" i="5"/>
  <c r="K247" i="5"/>
  <c r="L247" i="5"/>
  <c r="M247" i="5"/>
  <c r="N247" i="5"/>
  <c r="O247" i="5"/>
  <c r="P247" i="5"/>
  <c r="Q247" i="5"/>
  <c r="R247" i="5"/>
  <c r="S247" i="5"/>
  <c r="T247" i="5"/>
  <c r="U247" i="5"/>
  <c r="V247" i="5"/>
  <c r="W247" i="5"/>
  <c r="X247" i="5"/>
  <c r="Y247" i="5"/>
  <c r="Z247" i="5"/>
  <c r="K249" i="5"/>
  <c r="M249" i="5"/>
  <c r="P249" i="5"/>
  <c r="Q249" i="5"/>
  <c r="U249" i="5"/>
  <c r="V249" i="5"/>
  <c r="W249" i="5"/>
  <c r="Y249" i="5"/>
  <c r="Z249" i="5"/>
  <c r="J250" i="5"/>
  <c r="J249" i="5" s="1"/>
  <c r="L250" i="5"/>
  <c r="L249" i="5" s="1"/>
  <c r="O250" i="5"/>
  <c r="O249" i="5" s="1"/>
  <c r="T250" i="5"/>
  <c r="X250" i="5" s="1"/>
  <c r="X249" i="5" s="1"/>
  <c r="K252" i="5"/>
  <c r="K251" i="5" s="1"/>
  <c r="M252" i="5"/>
  <c r="M251" i="5" s="1"/>
  <c r="Q252" i="5"/>
  <c r="Q251" i="5" s="1"/>
  <c r="V252" i="5"/>
  <c r="V251" i="5" s="1"/>
  <c r="W252" i="5"/>
  <c r="W251" i="5" s="1"/>
  <c r="Y252" i="5"/>
  <c r="Y251" i="5" s="1"/>
  <c r="Z252" i="5"/>
  <c r="Z251" i="5" s="1"/>
  <c r="J253" i="5"/>
  <c r="J252" i="5" s="1"/>
  <c r="J251" i="5" s="1"/>
  <c r="L253" i="5"/>
  <c r="L252" i="5" s="1"/>
  <c r="L251" i="5" s="1"/>
  <c r="O253" i="5"/>
  <c r="O252" i="5" s="1"/>
  <c r="O251" i="5" s="1"/>
  <c r="P253" i="5"/>
  <c r="P252" i="5" s="1"/>
  <c r="P251" i="5" s="1"/>
  <c r="T253" i="5"/>
  <c r="T252" i="5" s="1"/>
  <c r="T251" i="5" s="1"/>
  <c r="U253" i="5"/>
  <c r="U252" i="5" s="1"/>
  <c r="U251" i="5" s="1"/>
  <c r="J255" i="5"/>
  <c r="J254" i="5" s="1"/>
  <c r="K255" i="5"/>
  <c r="K254" i="5" s="1"/>
  <c r="M255" i="5"/>
  <c r="M254" i="5" s="1"/>
  <c r="O255" i="5"/>
  <c r="O254" i="5" s="1"/>
  <c r="Q255" i="5"/>
  <c r="Q254" i="5" s="1"/>
  <c r="R255" i="5"/>
  <c r="R254" i="5" s="1"/>
  <c r="T255" i="5"/>
  <c r="T254" i="5" s="1"/>
  <c r="V255" i="5"/>
  <c r="V254" i="5" s="1"/>
  <c r="W255" i="5"/>
  <c r="W254" i="5" s="1"/>
  <c r="Y255" i="5"/>
  <c r="Y254" i="5" s="1"/>
  <c r="L256" i="5"/>
  <c r="L255" i="5" s="1"/>
  <c r="L254" i="5" s="1"/>
  <c r="P256" i="5"/>
  <c r="P255" i="5" s="1"/>
  <c r="P254" i="5" s="1"/>
  <c r="U256" i="5"/>
  <c r="Z256" i="5"/>
  <c r="Z255" i="5" s="1"/>
  <c r="Z254" i="5" s="1"/>
  <c r="J258" i="5"/>
  <c r="J257" i="5" s="1"/>
  <c r="K258" i="5"/>
  <c r="K257" i="5" s="1"/>
  <c r="L258" i="5"/>
  <c r="L257" i="5" s="1"/>
  <c r="M258" i="5"/>
  <c r="M257" i="5" s="1"/>
  <c r="N258" i="5"/>
  <c r="N257" i="5" s="1"/>
  <c r="O258" i="5"/>
  <c r="O257" i="5" s="1"/>
  <c r="P258" i="5"/>
  <c r="P257" i="5" s="1"/>
  <c r="Q258" i="5"/>
  <c r="Q257" i="5" s="1"/>
  <c r="R258" i="5"/>
  <c r="R257" i="5" s="1"/>
  <c r="S258" i="5"/>
  <c r="S257" i="5" s="1"/>
  <c r="T258" i="5"/>
  <c r="T257" i="5" s="1"/>
  <c r="U258" i="5"/>
  <c r="U257" i="5" s="1"/>
  <c r="V258" i="5"/>
  <c r="V257" i="5" s="1"/>
  <c r="W258" i="5"/>
  <c r="W257" i="5" s="1"/>
  <c r="X258" i="5"/>
  <c r="X257" i="5" s="1"/>
  <c r="Y258" i="5"/>
  <c r="Y257" i="5" s="1"/>
  <c r="Z258" i="5"/>
  <c r="Z257" i="5" s="1"/>
  <c r="K261" i="5"/>
  <c r="Q261" i="5"/>
  <c r="R261" i="5"/>
  <c r="V261" i="5"/>
  <c r="W261" i="5"/>
  <c r="Y261" i="5"/>
  <c r="Z261" i="5"/>
  <c r="J262" i="5"/>
  <c r="J261" i="5" s="1"/>
  <c r="L262" i="5"/>
  <c r="L261" i="5" s="1"/>
  <c r="M262" i="5"/>
  <c r="M261" i="5" s="1"/>
  <c r="O262" i="5"/>
  <c r="O261" i="5" s="1"/>
  <c r="P262" i="5"/>
  <c r="P261" i="5" s="1"/>
  <c r="T262" i="5"/>
  <c r="T261" i="5" s="1"/>
  <c r="U262" i="5"/>
  <c r="U261" i="5" s="1"/>
  <c r="N263" i="5"/>
  <c r="Q263" i="5"/>
  <c r="R263" i="5" s="1"/>
  <c r="S263" i="5"/>
  <c r="W263" i="5" s="1"/>
  <c r="X263" i="5"/>
  <c r="N264" i="5"/>
  <c r="Q264" i="5"/>
  <c r="R264" i="5" s="1"/>
  <c r="S264" i="5"/>
  <c r="X264" i="5"/>
  <c r="J265" i="5"/>
  <c r="K265" i="5"/>
  <c r="L265" i="5"/>
  <c r="M265" i="5"/>
  <c r="O265" i="5"/>
  <c r="P265" i="5"/>
  <c r="T265" i="5"/>
  <c r="U265" i="5"/>
  <c r="N266" i="5"/>
  <c r="N265" i="5" s="1"/>
  <c r="Q266" i="5"/>
  <c r="Q265" i="5" s="1"/>
  <c r="S266" i="5"/>
  <c r="X266" i="5"/>
  <c r="X265" i="5" s="1"/>
  <c r="N267" i="5"/>
  <c r="S267" i="5"/>
  <c r="X267" i="5"/>
  <c r="N268" i="5"/>
  <c r="S268" i="5"/>
  <c r="X268" i="5"/>
  <c r="J269" i="5"/>
  <c r="K269" i="5"/>
  <c r="L269" i="5"/>
  <c r="M269" i="5"/>
  <c r="O269" i="5"/>
  <c r="P269" i="5"/>
  <c r="Q269" i="5"/>
  <c r="R269" i="5"/>
  <c r="T269" i="5"/>
  <c r="U269" i="5"/>
  <c r="V269" i="5"/>
  <c r="W269" i="5"/>
  <c r="Y269" i="5"/>
  <c r="Z269" i="5"/>
  <c r="N270" i="5"/>
  <c r="N269" i="5" s="1"/>
  <c r="S270" i="5"/>
  <c r="S269" i="5" s="1"/>
  <c r="X270" i="5"/>
  <c r="X269" i="5" s="1"/>
  <c r="J275" i="5"/>
  <c r="J274" i="5" s="1"/>
  <c r="K275" i="5"/>
  <c r="K274" i="5" s="1"/>
  <c r="L275" i="5"/>
  <c r="L274" i="5" s="1"/>
  <c r="M275" i="5"/>
  <c r="M274" i="5" s="1"/>
  <c r="N275" i="5"/>
  <c r="N274" i="5" s="1"/>
  <c r="O275" i="5"/>
  <c r="O274" i="5" s="1"/>
  <c r="P275" i="5"/>
  <c r="P274" i="5" s="1"/>
  <c r="Q275" i="5"/>
  <c r="Q274" i="5" s="1"/>
  <c r="R275" i="5"/>
  <c r="R274" i="5" s="1"/>
  <c r="S275" i="5"/>
  <c r="S274" i="5" s="1"/>
  <c r="T275" i="5"/>
  <c r="T274" i="5" s="1"/>
  <c r="U275" i="5"/>
  <c r="U274" i="5" s="1"/>
  <c r="V275" i="5"/>
  <c r="V274" i="5" s="1"/>
  <c r="W275" i="5"/>
  <c r="W274" i="5" s="1"/>
  <c r="X275" i="5"/>
  <c r="X274" i="5" s="1"/>
  <c r="Y275" i="5"/>
  <c r="Y274" i="5" s="1"/>
  <c r="Z275" i="5"/>
  <c r="Z274" i="5" s="1"/>
  <c r="K278" i="5"/>
  <c r="K277" i="5" s="1"/>
  <c r="M278" i="5"/>
  <c r="M277" i="5" s="1"/>
  <c r="P278" i="5"/>
  <c r="P277" i="5" s="1"/>
  <c r="Q278" i="5"/>
  <c r="Q277" i="5" s="1"/>
  <c r="U278" i="5"/>
  <c r="U277" i="5" s="1"/>
  <c r="V278" i="5"/>
  <c r="V277" i="5" s="1"/>
  <c r="Y278" i="5"/>
  <c r="Y277" i="5" s="1"/>
  <c r="J279" i="5"/>
  <c r="J278" i="5" s="1"/>
  <c r="J277" i="5" s="1"/>
  <c r="L279" i="5"/>
  <c r="L278" i="5" s="1"/>
  <c r="L277" i="5" s="1"/>
  <c r="N279" i="5"/>
  <c r="N278" i="5" s="1"/>
  <c r="N277" i="5" s="1"/>
  <c r="O279" i="5"/>
  <c r="O278" i="5" s="1"/>
  <c r="O277" i="5" s="1"/>
  <c r="R279" i="5"/>
  <c r="R278" i="5" s="1"/>
  <c r="R277" i="5" s="1"/>
  <c r="S279" i="5"/>
  <c r="S278" i="5" s="1"/>
  <c r="S277" i="5" s="1"/>
  <c r="T279" i="5"/>
  <c r="T278" i="5" s="1"/>
  <c r="T277" i="5" s="1"/>
  <c r="W279" i="5"/>
  <c r="W278" i="5" s="1"/>
  <c r="W277" i="5" s="1"/>
  <c r="X279" i="5"/>
  <c r="X278" i="5" s="1"/>
  <c r="X277" i="5" s="1"/>
  <c r="Z279" i="5"/>
  <c r="Z278" i="5" s="1"/>
  <c r="Z277" i="5" s="1"/>
  <c r="J281" i="5"/>
  <c r="J280" i="5" s="1"/>
  <c r="K281" i="5"/>
  <c r="K280" i="5" s="1"/>
  <c r="L281" i="5"/>
  <c r="L280" i="5" s="1"/>
  <c r="M281" i="5"/>
  <c r="M280" i="5" s="1"/>
  <c r="N281" i="5"/>
  <c r="N280" i="5" s="1"/>
  <c r="O281" i="5"/>
  <c r="O280" i="5" s="1"/>
  <c r="P281" i="5"/>
  <c r="P280" i="5" s="1"/>
  <c r="Q281" i="5"/>
  <c r="Q280" i="5" s="1"/>
  <c r="R281" i="5"/>
  <c r="R280" i="5" s="1"/>
  <c r="S281" i="5"/>
  <c r="S280" i="5" s="1"/>
  <c r="T281" i="5"/>
  <c r="T280" i="5" s="1"/>
  <c r="U281" i="5"/>
  <c r="U280" i="5" s="1"/>
  <c r="V281" i="5"/>
  <c r="V280" i="5" s="1"/>
  <c r="W281" i="5"/>
  <c r="W280" i="5" s="1"/>
  <c r="X281" i="5"/>
  <c r="X280" i="5" s="1"/>
  <c r="Y281" i="5"/>
  <c r="Y280" i="5" s="1"/>
  <c r="Z281" i="5"/>
  <c r="Z280" i="5" s="1"/>
  <c r="J284" i="5"/>
  <c r="J283" i="5" s="1"/>
  <c r="K284" i="5"/>
  <c r="K283" i="5" s="1"/>
  <c r="L284" i="5"/>
  <c r="L283" i="5" s="1"/>
  <c r="M284" i="5"/>
  <c r="M283" i="5" s="1"/>
  <c r="O284" i="5"/>
  <c r="O283" i="5" s="1"/>
  <c r="P284" i="5"/>
  <c r="P283" i="5" s="1"/>
  <c r="Q284" i="5"/>
  <c r="Q283" i="5" s="1"/>
  <c r="R284" i="5"/>
  <c r="R283" i="5" s="1"/>
  <c r="T284" i="5"/>
  <c r="T283" i="5" s="1"/>
  <c r="U284" i="5"/>
  <c r="U283" i="5" s="1"/>
  <c r="V284" i="5"/>
  <c r="V283" i="5" s="1"/>
  <c r="W284" i="5"/>
  <c r="W283" i="5" s="1"/>
  <c r="Y284" i="5"/>
  <c r="Y283" i="5" s="1"/>
  <c r="Z284" i="5"/>
  <c r="Z283" i="5" s="1"/>
  <c r="N285" i="5"/>
  <c r="N284" i="5" s="1"/>
  <c r="N283" i="5" s="1"/>
  <c r="S285" i="5"/>
  <c r="S284" i="5" s="1"/>
  <c r="S283" i="5" s="1"/>
  <c r="X285" i="5"/>
  <c r="X284" i="5" s="1"/>
  <c r="X283" i="5" s="1"/>
  <c r="L287" i="5"/>
  <c r="L286" i="5" s="1"/>
  <c r="N287" i="5"/>
  <c r="O287" i="5"/>
  <c r="O286" i="5" s="1"/>
  <c r="P287" i="5"/>
  <c r="P286" i="5" s="1"/>
  <c r="Q287" i="5"/>
  <c r="Q286" i="5" s="1"/>
  <c r="S287" i="5"/>
  <c r="S286" i="5" s="1"/>
  <c r="T287" i="5"/>
  <c r="T286" i="5" s="1"/>
  <c r="V287" i="5"/>
  <c r="V286" i="5" s="1"/>
  <c r="W287" i="5"/>
  <c r="W286" i="5" s="1"/>
  <c r="X287" i="5"/>
  <c r="X286" i="5" s="1"/>
  <c r="Y287" i="5"/>
  <c r="Y286" i="5" s="1"/>
  <c r="Z287" i="5"/>
  <c r="Z286" i="5" s="1"/>
  <c r="M288" i="5"/>
  <c r="M287" i="5" s="1"/>
  <c r="M286" i="5" s="1"/>
  <c r="N293" i="5"/>
  <c r="Q293" i="5"/>
  <c r="S293" i="5"/>
  <c r="V293" i="5"/>
  <c r="X293" i="5"/>
  <c r="Y293" i="5"/>
  <c r="Z293" i="5"/>
  <c r="R293" i="5"/>
  <c r="W294" i="5"/>
  <c r="W293" i="5" s="1"/>
  <c r="N297" i="5"/>
  <c r="N292" i="5" s="1"/>
  <c r="S297" i="5"/>
  <c r="S292" i="5" s="1"/>
  <c r="V297" i="5"/>
  <c r="V292" i="5" s="1"/>
  <c r="X297" i="5"/>
  <c r="X292" i="5" s="1"/>
  <c r="Y297" i="5"/>
  <c r="Y292" i="5" s="1"/>
  <c r="Z297" i="5"/>
  <c r="Z292" i="5" s="1"/>
  <c r="Q297" i="5"/>
  <c r="Q292" i="5" s="1"/>
  <c r="W298" i="5"/>
  <c r="W297" i="5" s="1"/>
  <c r="W292" i="5" s="1"/>
  <c r="K300" i="5"/>
  <c r="K299" i="5" s="1"/>
  <c r="M300" i="5"/>
  <c r="M299" i="5" s="1"/>
  <c r="P300" i="5"/>
  <c r="P299" i="5" s="1"/>
  <c r="Q300" i="5"/>
  <c r="Q299" i="5" s="1"/>
  <c r="R300" i="5"/>
  <c r="R299" i="5" s="1"/>
  <c r="U300" i="5"/>
  <c r="U299" i="5" s="1"/>
  <c r="V300" i="5"/>
  <c r="V299" i="5" s="1"/>
  <c r="W300" i="5"/>
  <c r="W299" i="5" s="1"/>
  <c r="Y300" i="5"/>
  <c r="Y299" i="5" s="1"/>
  <c r="Z300" i="5"/>
  <c r="Z299" i="5" s="1"/>
  <c r="J301" i="5"/>
  <c r="J300" i="5" s="1"/>
  <c r="J299" i="5" s="1"/>
  <c r="L301" i="5"/>
  <c r="L300" i="5" s="1"/>
  <c r="L299" i="5" s="1"/>
  <c r="O301" i="5"/>
  <c r="O300" i="5" s="1"/>
  <c r="O299" i="5" s="1"/>
  <c r="T301" i="5"/>
  <c r="T300" i="5" s="1"/>
  <c r="T299" i="5" s="1"/>
  <c r="L303" i="5"/>
  <c r="L302" i="5" s="1"/>
  <c r="M303" i="5"/>
  <c r="M302" i="5" s="1"/>
  <c r="N303" i="5"/>
  <c r="N302" i="5" s="1"/>
  <c r="O303" i="5"/>
  <c r="O302" i="5" s="1"/>
  <c r="P303" i="5"/>
  <c r="P302" i="5" s="1"/>
  <c r="Q303" i="5"/>
  <c r="Q302" i="5" s="1"/>
  <c r="R303" i="5"/>
  <c r="R302" i="5" s="1"/>
  <c r="S303" i="5"/>
  <c r="S302" i="5" s="1"/>
  <c r="T303" i="5"/>
  <c r="T302" i="5" s="1"/>
  <c r="V303" i="5"/>
  <c r="V302" i="5" s="1"/>
  <c r="W303" i="5"/>
  <c r="W302" i="5" s="1"/>
  <c r="X303" i="5"/>
  <c r="X302" i="5" s="1"/>
  <c r="Y303" i="5"/>
  <c r="Y302" i="5" s="1"/>
  <c r="Z303" i="5"/>
  <c r="Z302" i="5" s="1"/>
  <c r="K309" i="5"/>
  <c r="K308" i="5" s="1"/>
  <c r="M309" i="5"/>
  <c r="M308" i="5" s="1"/>
  <c r="N309" i="5"/>
  <c r="N308" i="5" s="1"/>
  <c r="P309" i="5"/>
  <c r="P308" i="5" s="1"/>
  <c r="Q309" i="5"/>
  <c r="Q308" i="5" s="1"/>
  <c r="S309" i="5"/>
  <c r="S308" i="5" s="1"/>
  <c r="U309" i="5"/>
  <c r="U308" i="5" s="1"/>
  <c r="V309" i="5"/>
  <c r="V308" i="5" s="1"/>
  <c r="X309" i="5"/>
  <c r="X308" i="5" s="1"/>
  <c r="Y309" i="5"/>
  <c r="Y308" i="5" s="1"/>
  <c r="J310" i="5"/>
  <c r="J309" i="5" s="1"/>
  <c r="J308" i="5" s="1"/>
  <c r="L310" i="5"/>
  <c r="L309" i="5" s="1"/>
  <c r="L308" i="5" s="1"/>
  <c r="O310" i="5"/>
  <c r="O309" i="5" s="1"/>
  <c r="O308" i="5" s="1"/>
  <c r="R309" i="5"/>
  <c r="R308" i="5" s="1"/>
  <c r="T310" i="5"/>
  <c r="T309" i="5" s="1"/>
  <c r="T308" i="5" s="1"/>
  <c r="W309" i="5"/>
  <c r="W308" i="5" s="1"/>
  <c r="Z309" i="5"/>
  <c r="Z308" i="5" s="1"/>
  <c r="K321" i="5"/>
  <c r="K320" i="5" s="1"/>
  <c r="M321" i="5"/>
  <c r="M320" i="5" s="1"/>
  <c r="P321" i="5"/>
  <c r="P320" i="5" s="1"/>
  <c r="Q321" i="5"/>
  <c r="Q320" i="5" s="1"/>
  <c r="U321" i="5"/>
  <c r="U320" i="5" s="1"/>
  <c r="V321" i="5"/>
  <c r="V320" i="5" s="1"/>
  <c r="Y321" i="5"/>
  <c r="Y320" i="5" s="1"/>
  <c r="J322" i="5"/>
  <c r="J321" i="5" s="1"/>
  <c r="J320" i="5" s="1"/>
  <c r="L322" i="5"/>
  <c r="L321" i="5" s="1"/>
  <c r="L320" i="5" s="1"/>
  <c r="N322" i="5"/>
  <c r="N321" i="5" s="1"/>
  <c r="N320" i="5" s="1"/>
  <c r="O322" i="5"/>
  <c r="O321" i="5" s="1"/>
  <c r="O320" i="5" s="1"/>
  <c r="R322" i="5"/>
  <c r="R321" i="5" s="1"/>
  <c r="R320" i="5" s="1"/>
  <c r="S322" i="5"/>
  <c r="S321" i="5" s="1"/>
  <c r="S320" i="5" s="1"/>
  <c r="T322" i="5"/>
  <c r="T321" i="5" s="1"/>
  <c r="T320" i="5" s="1"/>
  <c r="W322" i="5"/>
  <c r="W321" i="5" s="1"/>
  <c r="W320" i="5" s="1"/>
  <c r="X322" i="5"/>
  <c r="X321" i="5" s="1"/>
  <c r="X320" i="5" s="1"/>
  <c r="Z322" i="5"/>
  <c r="Z321" i="5" s="1"/>
  <c r="Z320" i="5" s="1"/>
  <c r="J327" i="5"/>
  <c r="J326" i="5" s="1"/>
  <c r="K327" i="5"/>
  <c r="K326" i="5" s="1"/>
  <c r="L327" i="5"/>
  <c r="L326" i="5" s="1"/>
  <c r="M327" i="5"/>
  <c r="M326" i="5" s="1"/>
  <c r="N327" i="5"/>
  <c r="N326" i="5" s="1"/>
  <c r="O327" i="5"/>
  <c r="O326" i="5" s="1"/>
  <c r="P327" i="5"/>
  <c r="P326" i="5" s="1"/>
  <c r="Q327" i="5"/>
  <c r="Q326" i="5" s="1"/>
  <c r="S327" i="5"/>
  <c r="S326" i="5" s="1"/>
  <c r="V327" i="5"/>
  <c r="V326" i="5" s="1"/>
  <c r="W327" i="5"/>
  <c r="W326" i="5" s="1"/>
  <c r="X327" i="5"/>
  <c r="X326" i="5" s="1"/>
  <c r="Y327" i="5"/>
  <c r="Y326" i="5" s="1"/>
  <c r="R327" i="5"/>
  <c r="R326" i="5" s="1"/>
  <c r="T328" i="5"/>
  <c r="T327" i="5" s="1"/>
  <c r="T326" i="5" s="1"/>
  <c r="Z327" i="5"/>
  <c r="Z326" i="5" s="1"/>
  <c r="J333" i="5"/>
  <c r="K333" i="5"/>
  <c r="L333" i="5"/>
  <c r="M333" i="5"/>
  <c r="N333" i="5"/>
  <c r="P333" i="5"/>
  <c r="Q333" i="5"/>
  <c r="R333" i="5"/>
  <c r="U333" i="5"/>
  <c r="V333" i="5"/>
  <c r="Y333" i="5"/>
  <c r="O334" i="5"/>
  <c r="O333" i="5" s="1"/>
  <c r="S333" i="5"/>
  <c r="T334" i="5"/>
  <c r="T333" i="5" s="1"/>
  <c r="W334" i="5"/>
  <c r="W333" i="5" s="1"/>
  <c r="X334" i="5"/>
  <c r="X333" i="5" s="1"/>
  <c r="Z334" i="5"/>
  <c r="Z333" i="5" s="1"/>
  <c r="J335" i="5"/>
  <c r="K335" i="5"/>
  <c r="L335" i="5"/>
  <c r="M335" i="5"/>
  <c r="N335" i="5"/>
  <c r="O335" i="5"/>
  <c r="P335" i="5"/>
  <c r="Q335" i="5"/>
  <c r="Q332" i="5" s="1"/>
  <c r="R335" i="5"/>
  <c r="S335" i="5"/>
  <c r="T335" i="5"/>
  <c r="U335" i="5"/>
  <c r="V335" i="5"/>
  <c r="W335" i="5"/>
  <c r="X335" i="5"/>
  <c r="Y335" i="5"/>
  <c r="Y332" i="5" s="1"/>
  <c r="Z335" i="5"/>
  <c r="J338" i="5"/>
  <c r="J337" i="5" s="1"/>
  <c r="K338" i="5"/>
  <c r="K337" i="5" s="1"/>
  <c r="L338" i="5"/>
  <c r="L337" i="5" s="1"/>
  <c r="M338" i="5"/>
  <c r="M337" i="5" s="1"/>
  <c r="N338" i="5"/>
  <c r="N337" i="5" s="1"/>
  <c r="P338" i="5"/>
  <c r="P337" i="5" s="1"/>
  <c r="Q338" i="5"/>
  <c r="Q337" i="5" s="1"/>
  <c r="R338" i="5"/>
  <c r="R337" i="5" s="1"/>
  <c r="U338" i="5"/>
  <c r="U337" i="5" s="1"/>
  <c r="V338" i="5"/>
  <c r="V337" i="5" s="1"/>
  <c r="Y338" i="5"/>
  <c r="Y337" i="5" s="1"/>
  <c r="O339" i="5"/>
  <c r="O338" i="5" s="1"/>
  <c r="O337" i="5" s="1"/>
  <c r="S339" i="5"/>
  <c r="S338" i="5" s="1"/>
  <c r="S337" i="5" s="1"/>
  <c r="T339" i="5"/>
  <c r="T338" i="5" s="1"/>
  <c r="T337" i="5" s="1"/>
  <c r="W339" i="5"/>
  <c r="W338" i="5" s="1"/>
  <c r="W337" i="5" s="1"/>
  <c r="X339" i="5"/>
  <c r="X338" i="5" s="1"/>
  <c r="X337" i="5" s="1"/>
  <c r="Z339" i="5"/>
  <c r="Z338" i="5" s="1"/>
  <c r="Z337" i="5" s="1"/>
  <c r="J341" i="5"/>
  <c r="J340" i="5" s="1"/>
  <c r="K341" i="5"/>
  <c r="K340" i="5" s="1"/>
  <c r="L341" i="5"/>
  <c r="L340" i="5" s="1"/>
  <c r="M341" i="5"/>
  <c r="M340" i="5" s="1"/>
  <c r="N341" i="5"/>
  <c r="N340" i="5" s="1"/>
  <c r="O341" i="5"/>
  <c r="O340" i="5" s="1"/>
  <c r="P341" i="5"/>
  <c r="P340" i="5" s="1"/>
  <c r="Q341" i="5"/>
  <c r="Q340" i="5" s="1"/>
  <c r="R341" i="5"/>
  <c r="R340" i="5" s="1"/>
  <c r="S341" i="5"/>
  <c r="S340" i="5" s="1"/>
  <c r="T341" i="5"/>
  <c r="T340" i="5" s="1"/>
  <c r="U341" i="5"/>
  <c r="U340" i="5" s="1"/>
  <c r="V341" i="5"/>
  <c r="V340" i="5" s="1"/>
  <c r="W341" i="5"/>
  <c r="W340" i="5" s="1"/>
  <c r="X341" i="5"/>
  <c r="X340" i="5" s="1"/>
  <c r="Y341" i="5"/>
  <c r="Y340" i="5" s="1"/>
  <c r="Z341" i="5"/>
  <c r="Z340" i="5" s="1"/>
  <c r="L346" i="5"/>
  <c r="O346" i="5"/>
  <c r="T346" i="5"/>
  <c r="P347" i="5"/>
  <c r="P346" i="5" s="1"/>
  <c r="U347" i="5"/>
  <c r="U346" i="5" s="1"/>
  <c r="L348" i="5"/>
  <c r="M348" i="5"/>
  <c r="M347" i="5" s="1"/>
  <c r="M346" i="5" s="1"/>
  <c r="O348" i="5"/>
  <c r="Q347" i="5"/>
  <c r="Q346" i="5" s="1"/>
  <c r="S348" i="5"/>
  <c r="S347" i="5" s="1"/>
  <c r="S346" i="5" s="1"/>
  <c r="T348" i="5"/>
  <c r="W348" i="5" s="1"/>
  <c r="V348" i="5"/>
  <c r="V347" i="5" s="1"/>
  <c r="V346" i="5" s="1"/>
  <c r="X348" i="5"/>
  <c r="X347" i="5" s="1"/>
  <c r="X346" i="5" s="1"/>
  <c r="L353" i="5"/>
  <c r="L352" i="5" s="1"/>
  <c r="M353" i="5"/>
  <c r="M352" i="5" s="1"/>
  <c r="N353" i="5"/>
  <c r="N352" i="5" s="1"/>
  <c r="O353" i="5"/>
  <c r="O352" i="5" s="1"/>
  <c r="P353" i="5"/>
  <c r="P352" i="5" s="1"/>
  <c r="Q353" i="5"/>
  <c r="Q352" i="5" s="1"/>
  <c r="R353" i="5"/>
  <c r="R352" i="5" s="1"/>
  <c r="S353" i="5"/>
  <c r="S352" i="5" s="1"/>
  <c r="T353" i="5"/>
  <c r="T352" i="5" s="1"/>
  <c r="U353" i="5"/>
  <c r="U352" i="5" s="1"/>
  <c r="V353" i="5"/>
  <c r="V352" i="5" s="1"/>
  <c r="W353" i="5"/>
  <c r="W352" i="5" s="1"/>
  <c r="X353" i="5"/>
  <c r="X352" i="5" s="1"/>
  <c r="Y353" i="5"/>
  <c r="Y352" i="5" s="1"/>
  <c r="Z353" i="5"/>
  <c r="Z352" i="5" s="1"/>
  <c r="J356" i="5"/>
  <c r="K356" i="5"/>
  <c r="L356" i="5"/>
  <c r="M356" i="5"/>
  <c r="N356" i="5"/>
  <c r="P356" i="5"/>
  <c r="Q356" i="5"/>
  <c r="R356" i="5"/>
  <c r="U356" i="5"/>
  <c r="V356" i="5"/>
  <c r="Y356" i="5"/>
  <c r="O357" i="5"/>
  <c r="O356" i="5" s="1"/>
  <c r="S357" i="5"/>
  <c r="S356" i="5" s="1"/>
  <c r="T357" i="5"/>
  <c r="T356" i="5" s="1"/>
  <c r="W357" i="5"/>
  <c r="W356" i="5" s="1"/>
  <c r="X357" i="5"/>
  <c r="X356" i="5" s="1"/>
  <c r="Z357" i="5"/>
  <c r="Z356" i="5" s="1"/>
  <c r="J358" i="5"/>
  <c r="K358" i="5"/>
  <c r="L358" i="5"/>
  <c r="M358" i="5"/>
  <c r="N358" i="5"/>
  <c r="P358" i="5"/>
  <c r="Q358" i="5"/>
  <c r="R358" i="5"/>
  <c r="U358" i="5"/>
  <c r="V358" i="5"/>
  <c r="Y358" i="5"/>
  <c r="O359" i="5"/>
  <c r="O358" i="5" s="1"/>
  <c r="S359" i="5"/>
  <c r="S358" i="5" s="1"/>
  <c r="T359" i="5"/>
  <c r="T358" i="5" s="1"/>
  <c r="W359" i="5"/>
  <c r="W358" i="5" s="1"/>
  <c r="X359" i="5"/>
  <c r="X358" i="5" s="1"/>
  <c r="Z359" i="5"/>
  <c r="Z358" i="5" s="1"/>
  <c r="L361" i="5"/>
  <c r="L360" i="5" s="1"/>
  <c r="O361" i="5"/>
  <c r="O360" i="5" s="1"/>
  <c r="P361" i="5"/>
  <c r="P360" i="5" s="1"/>
  <c r="R361" i="5"/>
  <c r="R360" i="5" s="1"/>
  <c r="S361" i="5"/>
  <c r="S360" i="5" s="1"/>
  <c r="T361" i="5"/>
  <c r="T360" i="5" s="1"/>
  <c r="U361" i="5"/>
  <c r="U360" i="5" s="1"/>
  <c r="V361" i="5"/>
  <c r="V360" i="5" s="1"/>
  <c r="W361" i="5"/>
  <c r="W360" i="5" s="1"/>
  <c r="X361" i="5"/>
  <c r="X360" i="5" s="1"/>
  <c r="Y361" i="5"/>
  <c r="Y360" i="5" s="1"/>
  <c r="Z361" i="5"/>
  <c r="Z360" i="5" s="1"/>
  <c r="M362" i="5"/>
  <c r="M361" i="5" s="1"/>
  <c r="M360" i="5" s="1"/>
  <c r="Q362" i="5"/>
  <c r="Q361" i="5" s="1"/>
  <c r="Q360" i="5" s="1"/>
  <c r="N364" i="5"/>
  <c r="O364" i="5"/>
  <c r="P364" i="5"/>
  <c r="Q364" i="5"/>
  <c r="S364" i="5"/>
  <c r="T364" i="5"/>
  <c r="U364" i="5"/>
  <c r="V364" i="5"/>
  <c r="W364" i="5"/>
  <c r="X364" i="5"/>
  <c r="Y364" i="5"/>
  <c r="Z364" i="5"/>
  <c r="R364" i="5"/>
  <c r="N366" i="5"/>
  <c r="O366" i="5"/>
  <c r="P366" i="5"/>
  <c r="Q366" i="5"/>
  <c r="S366" i="5"/>
  <c r="T366" i="5"/>
  <c r="U366" i="5"/>
  <c r="V366" i="5"/>
  <c r="W366" i="5"/>
  <c r="X366" i="5"/>
  <c r="Y366" i="5"/>
  <c r="Z366" i="5"/>
  <c r="R366" i="5"/>
  <c r="L368" i="5"/>
  <c r="L363" i="5" s="1"/>
  <c r="N368" i="5"/>
  <c r="O368" i="5"/>
  <c r="P368" i="5"/>
  <c r="Q368" i="5"/>
  <c r="S368" i="5"/>
  <c r="T368" i="5"/>
  <c r="U368" i="5"/>
  <c r="V368" i="5"/>
  <c r="W368" i="5"/>
  <c r="X368" i="5"/>
  <c r="Y368" i="5"/>
  <c r="Z368" i="5"/>
  <c r="M369" i="5"/>
  <c r="M368" i="5" s="1"/>
  <c r="M363" i="5" s="1"/>
  <c r="R368" i="5"/>
  <c r="L373" i="5"/>
  <c r="M373" i="5"/>
  <c r="N373" i="5"/>
  <c r="O373" i="5"/>
  <c r="P373" i="5"/>
  <c r="Q373" i="5"/>
  <c r="R373" i="5"/>
  <c r="S373" i="5"/>
  <c r="T373" i="5"/>
  <c r="U373" i="5"/>
  <c r="V373" i="5"/>
  <c r="W373" i="5"/>
  <c r="X373" i="5"/>
  <c r="Y373" i="5"/>
  <c r="Z373" i="5"/>
  <c r="J375" i="5"/>
  <c r="J372" i="5" s="1"/>
  <c r="J371" i="5" s="1"/>
  <c r="K375" i="5"/>
  <c r="K372" i="5" s="1"/>
  <c r="K371" i="5" s="1"/>
  <c r="L375" i="5"/>
  <c r="M375" i="5"/>
  <c r="N375" i="5"/>
  <c r="O375" i="5"/>
  <c r="P375" i="5"/>
  <c r="Q375" i="5"/>
  <c r="R375" i="5"/>
  <c r="S375" i="5"/>
  <c r="T375" i="5"/>
  <c r="U375" i="5"/>
  <c r="V375" i="5"/>
  <c r="W375" i="5"/>
  <c r="X375" i="5"/>
  <c r="Y375" i="5"/>
  <c r="Z375" i="5"/>
  <c r="J378" i="5"/>
  <c r="J377" i="5" s="1"/>
  <c r="K378" i="5"/>
  <c r="K377" i="5" s="1"/>
  <c r="L378" i="5"/>
  <c r="L377" i="5" s="1"/>
  <c r="M378" i="5"/>
  <c r="M377" i="5" s="1"/>
  <c r="N378" i="5"/>
  <c r="N377" i="5" s="1"/>
  <c r="O378" i="5"/>
  <c r="O377" i="5" s="1"/>
  <c r="P378" i="5"/>
  <c r="P377" i="5" s="1"/>
  <c r="Q378" i="5"/>
  <c r="Q377" i="5" s="1"/>
  <c r="R378" i="5"/>
  <c r="R377" i="5" s="1"/>
  <c r="S378" i="5"/>
  <c r="S377" i="5" s="1"/>
  <c r="T378" i="5"/>
  <c r="T377" i="5" s="1"/>
  <c r="U378" i="5"/>
  <c r="U377" i="5" s="1"/>
  <c r="V378" i="5"/>
  <c r="V377" i="5" s="1"/>
  <c r="W378" i="5"/>
  <c r="W377" i="5" s="1"/>
  <c r="X378" i="5"/>
  <c r="X377" i="5" s="1"/>
  <c r="Y378" i="5"/>
  <c r="Y377" i="5" s="1"/>
  <c r="Z378" i="5"/>
  <c r="Z377" i="5" s="1"/>
  <c r="L381" i="5"/>
  <c r="M381" i="5"/>
  <c r="N381" i="5"/>
  <c r="O381" i="5"/>
  <c r="P381" i="5"/>
  <c r="Q381" i="5"/>
  <c r="R381" i="5"/>
  <c r="S381" i="5"/>
  <c r="T381" i="5"/>
  <c r="U381" i="5"/>
  <c r="V381" i="5"/>
  <c r="W381" i="5"/>
  <c r="X381" i="5"/>
  <c r="Y381" i="5"/>
  <c r="Z381" i="5"/>
  <c r="J383" i="5"/>
  <c r="J380" i="5" s="1"/>
  <c r="K383" i="5"/>
  <c r="K380" i="5" s="1"/>
  <c r="L383" i="5"/>
  <c r="M383" i="5"/>
  <c r="N383" i="5"/>
  <c r="O383" i="5"/>
  <c r="P383" i="5"/>
  <c r="Q383" i="5"/>
  <c r="R383" i="5"/>
  <c r="S383" i="5"/>
  <c r="T383" i="5"/>
  <c r="U383" i="5"/>
  <c r="V383" i="5"/>
  <c r="W383" i="5"/>
  <c r="X383" i="5"/>
  <c r="Y383" i="5"/>
  <c r="Z383" i="5"/>
  <c r="L387" i="5"/>
  <c r="L386" i="5" s="1"/>
  <c r="L385" i="5" s="1"/>
  <c r="M387" i="5"/>
  <c r="M386" i="5" s="1"/>
  <c r="M385" i="5" s="1"/>
  <c r="N387" i="5"/>
  <c r="N386" i="5" s="1"/>
  <c r="N385" i="5" s="1"/>
  <c r="P387" i="5"/>
  <c r="P386" i="5" s="1"/>
  <c r="P385" i="5" s="1"/>
  <c r="Q387" i="5"/>
  <c r="Q386" i="5" s="1"/>
  <c r="Q385" i="5" s="1"/>
  <c r="R387" i="5"/>
  <c r="R386" i="5" s="1"/>
  <c r="R385" i="5" s="1"/>
  <c r="U387" i="5"/>
  <c r="U386" i="5" s="1"/>
  <c r="U385" i="5" s="1"/>
  <c r="V387" i="5"/>
  <c r="V386" i="5" s="1"/>
  <c r="V385" i="5" s="1"/>
  <c r="Y387" i="5"/>
  <c r="Y386" i="5" s="1"/>
  <c r="Y385" i="5" s="1"/>
  <c r="O388" i="5"/>
  <c r="O387" i="5" s="1"/>
  <c r="O386" i="5" s="1"/>
  <c r="O385" i="5" s="1"/>
  <c r="S388" i="5"/>
  <c r="S387" i="5" s="1"/>
  <c r="S386" i="5" s="1"/>
  <c r="S385" i="5" s="1"/>
  <c r="T388" i="5"/>
  <c r="T387" i="5" s="1"/>
  <c r="T386" i="5" s="1"/>
  <c r="T385" i="5" s="1"/>
  <c r="W388" i="5"/>
  <c r="W387" i="5" s="1"/>
  <c r="W386" i="5" s="1"/>
  <c r="W385" i="5" s="1"/>
  <c r="X388" i="5"/>
  <c r="X387" i="5" s="1"/>
  <c r="X386" i="5" s="1"/>
  <c r="X385" i="5" s="1"/>
  <c r="Z388" i="5"/>
  <c r="Z387" i="5" s="1"/>
  <c r="Z386" i="5" s="1"/>
  <c r="Z385" i="5" s="1"/>
  <c r="J395" i="5"/>
  <c r="J394" i="5" s="1"/>
  <c r="J393" i="5" s="1"/>
  <c r="K395" i="5"/>
  <c r="K394" i="5" s="1"/>
  <c r="K393" i="5" s="1"/>
  <c r="L395" i="5"/>
  <c r="L394" i="5" s="1"/>
  <c r="L393" i="5" s="1"/>
  <c r="M395" i="5"/>
  <c r="M394" i="5" s="1"/>
  <c r="M393" i="5" s="1"/>
  <c r="O395" i="5"/>
  <c r="O394" i="5" s="1"/>
  <c r="P395" i="5"/>
  <c r="P394" i="5" s="1"/>
  <c r="R395" i="5"/>
  <c r="R394" i="5" s="1"/>
  <c r="S395" i="5"/>
  <c r="S394" i="5" s="1"/>
  <c r="T395" i="5"/>
  <c r="T394" i="5" s="1"/>
  <c r="U395" i="5"/>
  <c r="U394" i="5" s="1"/>
  <c r="V395" i="5"/>
  <c r="V394" i="5" s="1"/>
  <c r="W395" i="5"/>
  <c r="W394" i="5" s="1"/>
  <c r="X395" i="5"/>
  <c r="X394" i="5" s="1"/>
  <c r="Y395" i="5"/>
  <c r="Y394" i="5" s="1"/>
  <c r="Z395" i="5"/>
  <c r="Z394" i="5" s="1"/>
  <c r="N396" i="5"/>
  <c r="N395" i="5" s="1"/>
  <c r="N394" i="5" s="1"/>
  <c r="Q396" i="5"/>
  <c r="Q395" i="5" s="1"/>
  <c r="Q394" i="5" s="1"/>
  <c r="J398" i="5"/>
  <c r="J397" i="5" s="1"/>
  <c r="K398" i="5"/>
  <c r="K397" i="5" s="1"/>
  <c r="L398" i="5"/>
  <c r="L397" i="5" s="1"/>
  <c r="M398" i="5"/>
  <c r="M397" i="5" s="1"/>
  <c r="N398" i="5"/>
  <c r="N397" i="5" s="1"/>
  <c r="O398" i="5"/>
  <c r="O397" i="5" s="1"/>
  <c r="O393" i="5" s="1"/>
  <c r="Q398" i="5"/>
  <c r="Q397" i="5" s="1"/>
  <c r="Q393" i="5" s="1"/>
  <c r="S398" i="5"/>
  <c r="S397" i="5" s="1"/>
  <c r="S393" i="5" s="1"/>
  <c r="T398" i="5"/>
  <c r="T397" i="5" s="1"/>
  <c r="T393" i="5" s="1"/>
  <c r="V398" i="5"/>
  <c r="V397" i="5" s="1"/>
  <c r="V393" i="5" s="1"/>
  <c r="W398" i="5"/>
  <c r="W397" i="5" s="1"/>
  <c r="W393" i="5" s="1"/>
  <c r="X398" i="5"/>
  <c r="X397" i="5" s="1"/>
  <c r="X393" i="5" s="1"/>
  <c r="Y398" i="5"/>
  <c r="Y397" i="5" s="1"/>
  <c r="Y393" i="5" s="1"/>
  <c r="Z398" i="5"/>
  <c r="Z397" i="5" s="1"/>
  <c r="Z393" i="5" s="1"/>
  <c r="P399" i="5"/>
  <c r="P398" i="5" s="1"/>
  <c r="P397" i="5" s="1"/>
  <c r="P393" i="5" s="1"/>
  <c r="R398" i="5"/>
  <c r="R397" i="5" s="1"/>
  <c r="R393" i="5" s="1"/>
  <c r="U399" i="5"/>
  <c r="U398" i="5" s="1"/>
  <c r="U397" i="5" s="1"/>
  <c r="U393" i="5" s="1"/>
  <c r="L405" i="5"/>
  <c r="L404" i="5" s="1"/>
  <c r="L403" i="5" s="1"/>
  <c r="M405" i="5"/>
  <c r="M404" i="5" s="1"/>
  <c r="M403" i="5" s="1"/>
  <c r="N405" i="5"/>
  <c r="N404" i="5" s="1"/>
  <c r="N403" i="5" s="1"/>
  <c r="P405" i="5"/>
  <c r="P404" i="5" s="1"/>
  <c r="P403" i="5" s="1"/>
  <c r="Q405" i="5"/>
  <c r="Q404" i="5" s="1"/>
  <c r="Q403" i="5" s="1"/>
  <c r="R405" i="5"/>
  <c r="R404" i="5" s="1"/>
  <c r="R403" i="5" s="1"/>
  <c r="U405" i="5"/>
  <c r="U404" i="5" s="1"/>
  <c r="U403" i="5" s="1"/>
  <c r="V405" i="5"/>
  <c r="V404" i="5" s="1"/>
  <c r="V403" i="5" s="1"/>
  <c r="Y405" i="5"/>
  <c r="Y404" i="5" s="1"/>
  <c r="Y403" i="5" s="1"/>
  <c r="O406" i="5"/>
  <c r="O405" i="5" s="1"/>
  <c r="O404" i="5" s="1"/>
  <c r="O403" i="5" s="1"/>
  <c r="S406" i="5"/>
  <c r="S405" i="5" s="1"/>
  <c r="S404" i="5" s="1"/>
  <c r="S403" i="5" s="1"/>
  <c r="T406" i="5"/>
  <c r="T405" i="5" s="1"/>
  <c r="T404" i="5" s="1"/>
  <c r="T403" i="5" s="1"/>
  <c r="W406" i="5"/>
  <c r="W405" i="5" s="1"/>
  <c r="W404" i="5" s="1"/>
  <c r="W403" i="5" s="1"/>
  <c r="X406" i="5"/>
  <c r="X405" i="5" s="1"/>
  <c r="X404" i="5" s="1"/>
  <c r="X403" i="5" s="1"/>
  <c r="Z406" i="5"/>
  <c r="Z405" i="5" s="1"/>
  <c r="Z404" i="5" s="1"/>
  <c r="Z403" i="5" s="1"/>
  <c r="L410" i="5"/>
  <c r="L409" i="5" s="1"/>
  <c r="L408" i="5" s="1"/>
  <c r="M410" i="5"/>
  <c r="M409" i="5" s="1"/>
  <c r="M408" i="5" s="1"/>
  <c r="N410" i="5"/>
  <c r="N409" i="5" s="1"/>
  <c r="O410" i="5"/>
  <c r="O409" i="5" s="1"/>
  <c r="P410" i="5"/>
  <c r="P409" i="5" s="1"/>
  <c r="Q410" i="5"/>
  <c r="Q409" i="5" s="1"/>
  <c r="R410" i="5"/>
  <c r="S410" i="5"/>
  <c r="T410" i="5"/>
  <c r="U410" i="5"/>
  <c r="V410" i="5"/>
  <c r="W410" i="5"/>
  <c r="X410" i="5"/>
  <c r="Y410" i="5"/>
  <c r="Z410" i="5"/>
  <c r="J415" i="5"/>
  <c r="J414" i="5" s="1"/>
  <c r="K415" i="5"/>
  <c r="K414" i="5" s="1"/>
  <c r="L415" i="5"/>
  <c r="L414" i="5" s="1"/>
  <c r="M415" i="5"/>
  <c r="M414" i="5" s="1"/>
  <c r="N415" i="5"/>
  <c r="N414" i="5" s="1"/>
  <c r="O415" i="5"/>
  <c r="O414" i="5" s="1"/>
  <c r="P415" i="5"/>
  <c r="P414" i="5" s="1"/>
  <c r="Q415" i="5"/>
  <c r="Q414" i="5" s="1"/>
  <c r="S415" i="5"/>
  <c r="S414" i="5" s="1"/>
  <c r="T415" i="5"/>
  <c r="T414" i="5" s="1"/>
  <c r="U415" i="5"/>
  <c r="U414" i="5" s="1"/>
  <c r="V415" i="5"/>
  <c r="V414" i="5" s="1"/>
  <c r="W415" i="5"/>
  <c r="W414" i="5" s="1"/>
  <c r="X415" i="5"/>
  <c r="X414" i="5" s="1"/>
  <c r="Y415" i="5"/>
  <c r="Y414" i="5" s="1"/>
  <c r="Z415" i="5"/>
  <c r="Z414" i="5" s="1"/>
  <c r="R415" i="5"/>
  <c r="R414" i="5" s="1"/>
  <c r="L422" i="5"/>
  <c r="L421" i="5" s="1"/>
  <c r="M422" i="5"/>
  <c r="M421" i="5" s="1"/>
  <c r="N422" i="5"/>
  <c r="N421" i="5" s="1"/>
  <c r="O422" i="5"/>
  <c r="O421" i="5" s="1"/>
  <c r="P422" i="5"/>
  <c r="P421" i="5" s="1"/>
  <c r="Q422" i="5"/>
  <c r="Q421" i="5" s="1"/>
  <c r="R422" i="5"/>
  <c r="R421" i="5" s="1"/>
  <c r="S422" i="5"/>
  <c r="S421" i="5" s="1"/>
  <c r="T422" i="5"/>
  <c r="T421" i="5" s="1"/>
  <c r="U422" i="5"/>
  <c r="U421" i="5" s="1"/>
  <c r="V422" i="5"/>
  <c r="V421" i="5" s="1"/>
  <c r="W422" i="5"/>
  <c r="W421" i="5" s="1"/>
  <c r="X422" i="5"/>
  <c r="X421" i="5" s="1"/>
  <c r="Y422" i="5"/>
  <c r="Y421" i="5" s="1"/>
  <c r="Z422" i="5"/>
  <c r="Z421" i="5" s="1"/>
  <c r="M425" i="5"/>
  <c r="M424" i="5" s="1"/>
  <c r="O425" i="5"/>
  <c r="O424" i="5" s="1"/>
  <c r="P425" i="5"/>
  <c r="P424" i="5" s="1"/>
  <c r="Q425" i="5"/>
  <c r="Q424" i="5" s="1"/>
  <c r="S425" i="5"/>
  <c r="S424" i="5" s="1"/>
  <c r="T425" i="5"/>
  <c r="T424" i="5" s="1"/>
  <c r="U425" i="5"/>
  <c r="U424" i="5" s="1"/>
  <c r="V425" i="5"/>
  <c r="V424" i="5" s="1"/>
  <c r="W425" i="5"/>
  <c r="W424" i="5" s="1"/>
  <c r="X425" i="5"/>
  <c r="X424" i="5" s="1"/>
  <c r="Y425" i="5"/>
  <c r="Y424" i="5" s="1"/>
  <c r="Z425" i="5"/>
  <c r="Z424" i="5" s="1"/>
  <c r="L426" i="5"/>
  <c r="L425" i="5" s="1"/>
  <c r="L424" i="5" s="1"/>
  <c r="N426" i="5"/>
  <c r="N425" i="5" s="1"/>
  <c r="N424" i="5" s="1"/>
  <c r="R426" i="5"/>
  <c r="R425" i="5" s="1"/>
  <c r="R424" i="5" s="1"/>
  <c r="L428" i="5"/>
  <c r="L427" i="5" s="1"/>
  <c r="M428" i="5"/>
  <c r="M427" i="5" s="1"/>
  <c r="N428" i="5"/>
  <c r="N427" i="5" s="1"/>
  <c r="O428" i="5"/>
  <c r="O427" i="5" s="1"/>
  <c r="P428" i="5"/>
  <c r="P427" i="5" s="1"/>
  <c r="Q428" i="5"/>
  <c r="Q427" i="5" s="1"/>
  <c r="R428" i="5"/>
  <c r="R427" i="5" s="1"/>
  <c r="S428" i="5"/>
  <c r="S427" i="5" s="1"/>
  <c r="T428" i="5"/>
  <c r="T427" i="5" s="1"/>
  <c r="U428" i="5"/>
  <c r="U427" i="5" s="1"/>
  <c r="V428" i="5"/>
  <c r="V427" i="5" s="1"/>
  <c r="W428" i="5"/>
  <c r="W427" i="5" s="1"/>
  <c r="X428" i="5"/>
  <c r="X427" i="5" s="1"/>
  <c r="Y428" i="5"/>
  <c r="Y427" i="5" s="1"/>
  <c r="Z428" i="5"/>
  <c r="Z427" i="5" s="1"/>
  <c r="J435" i="5"/>
  <c r="J434" i="5" s="1"/>
  <c r="J433" i="5" s="1"/>
  <c r="K435" i="5"/>
  <c r="K434" i="5" s="1"/>
  <c r="K433" i="5" s="1"/>
  <c r="M435" i="5"/>
  <c r="M434" i="5" s="1"/>
  <c r="M433" i="5" s="1"/>
  <c r="P435" i="5"/>
  <c r="P434" i="5" s="1"/>
  <c r="P433" i="5" s="1"/>
  <c r="Q435" i="5"/>
  <c r="Q434" i="5" s="1"/>
  <c r="Q433" i="5" s="1"/>
  <c r="U435" i="5"/>
  <c r="U434" i="5" s="1"/>
  <c r="U433" i="5" s="1"/>
  <c r="V435" i="5"/>
  <c r="V434" i="5" s="1"/>
  <c r="V433" i="5" s="1"/>
  <c r="Y435" i="5"/>
  <c r="Y434" i="5" s="1"/>
  <c r="Y433" i="5" s="1"/>
  <c r="L436" i="5"/>
  <c r="L435" i="5" s="1"/>
  <c r="L434" i="5" s="1"/>
  <c r="L433" i="5" s="1"/>
  <c r="N436" i="5"/>
  <c r="N435" i="5" s="1"/>
  <c r="N434" i="5" s="1"/>
  <c r="N433" i="5" s="1"/>
  <c r="O436" i="5"/>
  <c r="O435" i="5" s="1"/>
  <c r="O434" i="5" s="1"/>
  <c r="O433" i="5" s="1"/>
  <c r="R436" i="5"/>
  <c r="R435" i="5" s="1"/>
  <c r="R434" i="5" s="1"/>
  <c r="R433" i="5" s="1"/>
  <c r="S436" i="5"/>
  <c r="S435" i="5" s="1"/>
  <c r="S434" i="5" s="1"/>
  <c r="S433" i="5" s="1"/>
  <c r="T436" i="5"/>
  <c r="T435" i="5" s="1"/>
  <c r="T434" i="5" s="1"/>
  <c r="T433" i="5" s="1"/>
  <c r="W436" i="5"/>
  <c r="W435" i="5" s="1"/>
  <c r="W434" i="5" s="1"/>
  <c r="W433" i="5" s="1"/>
  <c r="X436" i="5"/>
  <c r="X435" i="5" s="1"/>
  <c r="X434" i="5" s="1"/>
  <c r="X433" i="5" s="1"/>
  <c r="Z436" i="5"/>
  <c r="Z435" i="5" s="1"/>
  <c r="Z434" i="5" s="1"/>
  <c r="Z433" i="5" s="1"/>
  <c r="J442" i="5"/>
  <c r="J441" i="5" s="1"/>
  <c r="J440" i="5" s="1"/>
  <c r="K442" i="5"/>
  <c r="K441" i="5" s="1"/>
  <c r="K440" i="5" s="1"/>
  <c r="L442" i="5"/>
  <c r="L441" i="5" s="1"/>
  <c r="L440" i="5" s="1"/>
  <c r="M442" i="5"/>
  <c r="M441" i="5" s="1"/>
  <c r="M440" i="5" s="1"/>
  <c r="N442" i="5"/>
  <c r="N441" i="5" s="1"/>
  <c r="N440" i="5" s="1"/>
  <c r="O442" i="5"/>
  <c r="O441" i="5" s="1"/>
  <c r="O440" i="5" s="1"/>
  <c r="P442" i="5"/>
  <c r="P441" i="5" s="1"/>
  <c r="P440" i="5" s="1"/>
  <c r="Q442" i="5"/>
  <c r="Q441" i="5" s="1"/>
  <c r="Q440" i="5" s="1"/>
  <c r="R442" i="5"/>
  <c r="R441" i="5" s="1"/>
  <c r="R440" i="5" s="1"/>
  <c r="S442" i="5"/>
  <c r="S441" i="5" s="1"/>
  <c r="S440" i="5" s="1"/>
  <c r="T442" i="5"/>
  <c r="T441" i="5" s="1"/>
  <c r="T440" i="5" s="1"/>
  <c r="U442" i="5"/>
  <c r="U441" i="5" s="1"/>
  <c r="U440" i="5" s="1"/>
  <c r="V442" i="5"/>
  <c r="V441" i="5" s="1"/>
  <c r="V440" i="5" s="1"/>
  <c r="W442" i="5"/>
  <c r="W441" i="5" s="1"/>
  <c r="W440" i="5" s="1"/>
  <c r="X442" i="5"/>
  <c r="X441" i="5" s="1"/>
  <c r="X440" i="5" s="1"/>
  <c r="Y442" i="5"/>
  <c r="Y441" i="5" s="1"/>
  <c r="Y440" i="5" s="1"/>
  <c r="Z442" i="5"/>
  <c r="Z441" i="5" s="1"/>
  <c r="Z440" i="5" s="1"/>
  <c r="J447" i="5"/>
  <c r="K447" i="5"/>
  <c r="L447" i="5"/>
  <c r="M447" i="5"/>
  <c r="N447" i="5"/>
  <c r="O447" i="5"/>
  <c r="P447" i="5"/>
  <c r="Q447" i="5"/>
  <c r="R447" i="5"/>
  <c r="S447" i="5"/>
  <c r="T447" i="5"/>
  <c r="U447" i="5"/>
  <c r="V447" i="5"/>
  <c r="W447" i="5"/>
  <c r="X447" i="5"/>
  <c r="Y447" i="5"/>
  <c r="Z447" i="5"/>
  <c r="J449" i="5"/>
  <c r="K449" i="5"/>
  <c r="L449" i="5"/>
  <c r="M449" i="5"/>
  <c r="N449" i="5"/>
  <c r="O449" i="5"/>
  <c r="P449" i="5"/>
  <c r="Q449" i="5"/>
  <c r="R449" i="5"/>
  <c r="S449" i="5"/>
  <c r="T449" i="5"/>
  <c r="U449" i="5"/>
  <c r="V449" i="5"/>
  <c r="W449" i="5"/>
  <c r="X449" i="5"/>
  <c r="Y449" i="5"/>
  <c r="Z449" i="5"/>
  <c r="J451" i="5"/>
  <c r="K451" i="5"/>
  <c r="L451" i="5"/>
  <c r="M451" i="5"/>
  <c r="N451" i="5"/>
  <c r="O451" i="5"/>
  <c r="P451" i="5"/>
  <c r="Q451" i="5"/>
  <c r="R451" i="5"/>
  <c r="S451" i="5"/>
  <c r="T451" i="5"/>
  <c r="U451" i="5"/>
  <c r="V451" i="5"/>
  <c r="W451" i="5"/>
  <c r="X451" i="5"/>
  <c r="Y451" i="5"/>
  <c r="Z451" i="5"/>
  <c r="L454" i="5"/>
  <c r="M454" i="5"/>
  <c r="N454" i="5"/>
  <c r="Q454" i="5"/>
  <c r="R454" i="5"/>
  <c r="J457" i="5"/>
  <c r="J456" i="5" s="1"/>
  <c r="J455" i="5" s="1"/>
  <c r="L457" i="5"/>
  <c r="L456" i="5" s="1"/>
  <c r="L455" i="5" s="1"/>
  <c r="M457" i="5"/>
  <c r="M456" i="5" s="1"/>
  <c r="M455" i="5" s="1"/>
  <c r="N457" i="5"/>
  <c r="N456" i="5" s="1"/>
  <c r="N455" i="5" s="1"/>
  <c r="O457" i="5"/>
  <c r="O456" i="5" s="1"/>
  <c r="O455" i="5" s="1"/>
  <c r="P457" i="5"/>
  <c r="P456" i="5" s="1"/>
  <c r="P455" i="5" s="1"/>
  <c r="Q457" i="5"/>
  <c r="Q456" i="5" s="1"/>
  <c r="Q455" i="5" s="1"/>
  <c r="R457" i="5"/>
  <c r="R456" i="5" s="1"/>
  <c r="R455" i="5" s="1"/>
  <c r="S457" i="5"/>
  <c r="S456" i="5" s="1"/>
  <c r="S455" i="5" s="1"/>
  <c r="T457" i="5"/>
  <c r="T456" i="5" s="1"/>
  <c r="T455" i="5" s="1"/>
  <c r="U457" i="5"/>
  <c r="U456" i="5" s="1"/>
  <c r="U455" i="5" s="1"/>
  <c r="V457" i="5"/>
  <c r="V456" i="5" s="1"/>
  <c r="V455" i="5" s="1"/>
  <c r="W457" i="5"/>
  <c r="W456" i="5" s="1"/>
  <c r="W455" i="5" s="1"/>
  <c r="X457" i="5"/>
  <c r="X456" i="5" s="1"/>
  <c r="X455" i="5" s="1"/>
  <c r="Y457" i="5"/>
  <c r="Y456" i="5" s="1"/>
  <c r="Y455" i="5" s="1"/>
  <c r="Z457" i="5"/>
  <c r="Z456" i="5" s="1"/>
  <c r="Z455" i="5" s="1"/>
  <c r="K458" i="5"/>
  <c r="K457" i="5" s="1"/>
  <c r="K456" i="5" s="1"/>
  <c r="K455" i="5" s="1"/>
  <c r="J461" i="5"/>
  <c r="K461" i="5"/>
  <c r="L461" i="5"/>
  <c r="M461" i="5"/>
  <c r="N461" i="5"/>
  <c r="O461" i="5"/>
  <c r="P461" i="5"/>
  <c r="Q461" i="5"/>
  <c r="R461" i="5"/>
  <c r="S461" i="5"/>
  <c r="T461" i="5"/>
  <c r="U461" i="5"/>
  <c r="V461" i="5"/>
  <c r="W461" i="5"/>
  <c r="X461" i="5"/>
  <c r="Y461" i="5"/>
  <c r="Z461" i="5"/>
  <c r="J463" i="5"/>
  <c r="K463" i="5"/>
  <c r="L463" i="5"/>
  <c r="M463" i="5"/>
  <c r="N463" i="5"/>
  <c r="O463" i="5"/>
  <c r="P463" i="5"/>
  <c r="Q463" i="5"/>
  <c r="R463" i="5"/>
  <c r="S463" i="5"/>
  <c r="T463" i="5"/>
  <c r="U463" i="5"/>
  <c r="V463" i="5"/>
  <c r="W463" i="5"/>
  <c r="X463" i="5"/>
  <c r="Y463" i="5"/>
  <c r="Z463" i="5"/>
  <c r="J466" i="5"/>
  <c r="K466" i="5"/>
  <c r="O466" i="5"/>
  <c r="O465" i="5" s="1"/>
  <c r="P466" i="5"/>
  <c r="P465" i="5" s="1"/>
  <c r="S466" i="5"/>
  <c r="S465" i="5" s="1"/>
  <c r="T466" i="5"/>
  <c r="U466" i="5"/>
  <c r="V466" i="5"/>
  <c r="V465" i="5" s="1"/>
  <c r="W466" i="5"/>
  <c r="W465" i="5" s="1"/>
  <c r="X466" i="5"/>
  <c r="Y466" i="5"/>
  <c r="Z466" i="5"/>
  <c r="L467" i="5"/>
  <c r="L466" i="5" s="1"/>
  <c r="Q467" i="5"/>
  <c r="Q466" i="5" s="1"/>
  <c r="J468" i="5"/>
  <c r="K468" i="5"/>
  <c r="T468" i="5"/>
  <c r="U468" i="5"/>
  <c r="X468" i="5"/>
  <c r="Y468" i="5"/>
  <c r="Z468" i="5"/>
  <c r="L469" i="5"/>
  <c r="L468" i="5" s="1"/>
  <c r="Q469" i="5"/>
  <c r="Q468" i="5" s="1"/>
  <c r="J473" i="5"/>
  <c r="J472" i="5" s="1"/>
  <c r="K473" i="5"/>
  <c r="K472" i="5" s="1"/>
  <c r="L473" i="5"/>
  <c r="L472" i="5" s="1"/>
  <c r="M473" i="5"/>
  <c r="M472" i="5" s="1"/>
  <c r="O473" i="5"/>
  <c r="O472" i="5" s="1"/>
  <c r="P473" i="5"/>
  <c r="P472" i="5" s="1"/>
  <c r="Q473" i="5"/>
  <c r="Q472" i="5" s="1"/>
  <c r="R473" i="5"/>
  <c r="R472" i="5" s="1"/>
  <c r="T473" i="5"/>
  <c r="T472" i="5" s="1"/>
  <c r="U473" i="5"/>
  <c r="U472" i="5" s="1"/>
  <c r="V473" i="5"/>
  <c r="V472" i="5" s="1"/>
  <c r="W473" i="5"/>
  <c r="W472" i="5" s="1"/>
  <c r="Y473" i="5"/>
  <c r="Y472" i="5" s="1"/>
  <c r="Z473" i="5"/>
  <c r="Z472" i="5" s="1"/>
  <c r="N474" i="5"/>
  <c r="N473" i="5" s="1"/>
  <c r="N472" i="5" s="1"/>
  <c r="S474" i="5"/>
  <c r="S473" i="5" s="1"/>
  <c r="S472" i="5" s="1"/>
  <c r="X474" i="5"/>
  <c r="X473" i="5" s="1"/>
  <c r="X472" i="5" s="1"/>
  <c r="K476" i="5"/>
  <c r="M476" i="5"/>
  <c r="P476" i="5"/>
  <c r="Q476" i="5"/>
  <c r="U476" i="5"/>
  <c r="V476" i="5"/>
  <c r="W476" i="5"/>
  <c r="Y476" i="5"/>
  <c r="J477" i="5"/>
  <c r="J476" i="5" s="1"/>
  <c r="L477" i="5"/>
  <c r="L476" i="5" s="1"/>
  <c r="O477" i="5"/>
  <c r="O476" i="5" s="1"/>
  <c r="T477" i="5"/>
  <c r="T476" i="5" s="1"/>
  <c r="Z477" i="5"/>
  <c r="Z476" i="5" s="1"/>
  <c r="K478" i="5"/>
  <c r="M478" i="5"/>
  <c r="P478" i="5"/>
  <c r="Q478" i="5"/>
  <c r="U478" i="5"/>
  <c r="V478" i="5"/>
  <c r="Y478" i="5"/>
  <c r="J479" i="5"/>
  <c r="J478" i="5" s="1"/>
  <c r="L479" i="5"/>
  <c r="L478" i="5" s="1"/>
  <c r="N479" i="5"/>
  <c r="O479" i="5"/>
  <c r="O478" i="5" s="1"/>
  <c r="S479" i="5"/>
  <c r="S478" i="5" s="1"/>
  <c r="T479" i="5"/>
  <c r="T478" i="5" s="1"/>
  <c r="W479" i="5"/>
  <c r="W478" i="5" s="1"/>
  <c r="X479" i="5"/>
  <c r="X478" i="5" s="1"/>
  <c r="Z479" i="5"/>
  <c r="Z478" i="5" s="1"/>
  <c r="J487" i="5"/>
  <c r="K487" i="5"/>
  <c r="L487" i="5"/>
  <c r="M487" i="5"/>
  <c r="N487" i="5"/>
  <c r="O487" i="5"/>
  <c r="P487" i="5"/>
  <c r="Q487" i="5"/>
  <c r="R487" i="5"/>
  <c r="S487" i="5"/>
  <c r="T487" i="5"/>
  <c r="U487" i="5"/>
  <c r="V487" i="5"/>
  <c r="W487" i="5"/>
  <c r="X487" i="5"/>
  <c r="Y487" i="5"/>
  <c r="Z487" i="5"/>
  <c r="J489" i="5"/>
  <c r="K489" i="5"/>
  <c r="L489" i="5"/>
  <c r="M489" i="5"/>
  <c r="N489" i="5"/>
  <c r="O489" i="5"/>
  <c r="P489" i="5"/>
  <c r="Q489" i="5"/>
  <c r="R489" i="5"/>
  <c r="S489" i="5"/>
  <c r="T489" i="5"/>
  <c r="U489" i="5"/>
  <c r="V489" i="5"/>
  <c r="W489" i="5"/>
  <c r="X489" i="5"/>
  <c r="Y489" i="5"/>
  <c r="Z489" i="5"/>
  <c r="J492" i="5"/>
  <c r="K492" i="5"/>
  <c r="M492" i="5"/>
  <c r="P492" i="5"/>
  <c r="Q492" i="5"/>
  <c r="U492" i="5"/>
  <c r="V492" i="5"/>
  <c r="Y492" i="5"/>
  <c r="L493" i="5"/>
  <c r="L492" i="5" s="1"/>
  <c r="N493" i="5"/>
  <c r="N492" i="5" s="1"/>
  <c r="O493" i="5"/>
  <c r="O492" i="5" s="1"/>
  <c r="R493" i="5"/>
  <c r="R492" i="5" s="1"/>
  <c r="S493" i="5"/>
  <c r="S492" i="5" s="1"/>
  <c r="T493" i="5"/>
  <c r="T492" i="5" s="1"/>
  <c r="W493" i="5"/>
  <c r="W492" i="5" s="1"/>
  <c r="X493" i="5"/>
  <c r="X492" i="5" s="1"/>
  <c r="Z493" i="5"/>
  <c r="Z492" i="5" s="1"/>
  <c r="J494" i="5"/>
  <c r="K494" i="5"/>
  <c r="L494" i="5"/>
  <c r="M494" i="5"/>
  <c r="M491" i="5" s="1"/>
  <c r="N494" i="5"/>
  <c r="O494" i="5"/>
  <c r="P494" i="5"/>
  <c r="Q494" i="5"/>
  <c r="R494" i="5"/>
  <c r="S494" i="5"/>
  <c r="T494" i="5"/>
  <c r="U494" i="5"/>
  <c r="V494" i="5"/>
  <c r="W494" i="5"/>
  <c r="X494" i="5"/>
  <c r="Y494" i="5"/>
  <c r="Z494" i="5"/>
  <c r="K497" i="5"/>
  <c r="M497" i="5"/>
  <c r="P497" i="5"/>
  <c r="Q497" i="5"/>
  <c r="U497" i="5"/>
  <c r="V497" i="5"/>
  <c r="Y497" i="5"/>
  <c r="J498" i="5"/>
  <c r="J497" i="5" s="1"/>
  <c r="L498" i="5"/>
  <c r="L497" i="5" s="1"/>
  <c r="N498" i="5"/>
  <c r="N497" i="5" s="1"/>
  <c r="O498" i="5"/>
  <c r="O497" i="5" s="1"/>
  <c r="R498" i="5"/>
  <c r="R497" i="5" s="1"/>
  <c r="S498" i="5"/>
  <c r="S497" i="5" s="1"/>
  <c r="T498" i="5"/>
  <c r="T497" i="5" s="1"/>
  <c r="W498" i="5"/>
  <c r="W497" i="5" s="1"/>
  <c r="X498" i="5"/>
  <c r="X497" i="5" s="1"/>
  <c r="Z498" i="5"/>
  <c r="Z497" i="5" s="1"/>
  <c r="J499" i="5"/>
  <c r="K499" i="5"/>
  <c r="K496" i="5" s="1"/>
  <c r="L499" i="5"/>
  <c r="M499" i="5"/>
  <c r="N499" i="5"/>
  <c r="O499" i="5"/>
  <c r="P499" i="5"/>
  <c r="Q499" i="5"/>
  <c r="R499" i="5"/>
  <c r="S499" i="5"/>
  <c r="T499" i="5"/>
  <c r="U499" i="5"/>
  <c r="V499" i="5"/>
  <c r="W499" i="5"/>
  <c r="X499" i="5"/>
  <c r="Y499" i="5"/>
  <c r="Z499" i="5"/>
  <c r="J502" i="5"/>
  <c r="J501" i="5" s="1"/>
  <c r="K502" i="5"/>
  <c r="K501" i="5" s="1"/>
  <c r="M502" i="5"/>
  <c r="P502" i="5"/>
  <c r="Q502" i="5"/>
  <c r="U502" i="5"/>
  <c r="V502" i="5"/>
  <c r="Y502" i="5"/>
  <c r="L503" i="5"/>
  <c r="L502" i="5" s="1"/>
  <c r="N503" i="5"/>
  <c r="N502" i="5" s="1"/>
  <c r="O503" i="5"/>
  <c r="O502" i="5" s="1"/>
  <c r="R503" i="5"/>
  <c r="R502" i="5" s="1"/>
  <c r="S503" i="5"/>
  <c r="S502" i="5" s="1"/>
  <c r="T503" i="5"/>
  <c r="T502" i="5" s="1"/>
  <c r="W503" i="5"/>
  <c r="W502" i="5" s="1"/>
  <c r="X503" i="5"/>
  <c r="X502" i="5" s="1"/>
  <c r="Z503" i="5"/>
  <c r="Z502" i="5" s="1"/>
  <c r="L504" i="5"/>
  <c r="M504" i="5"/>
  <c r="N504" i="5"/>
  <c r="O504" i="5"/>
  <c r="P504" i="5"/>
  <c r="P501" i="5" s="1"/>
  <c r="Q504" i="5"/>
  <c r="R504" i="5"/>
  <c r="S504" i="5"/>
  <c r="T504" i="5"/>
  <c r="U504" i="5"/>
  <c r="V504" i="5"/>
  <c r="W504" i="5"/>
  <c r="X504" i="5"/>
  <c r="Y504" i="5"/>
  <c r="Z504" i="5"/>
  <c r="J506" i="5"/>
  <c r="K506" i="5"/>
  <c r="L506" i="5"/>
  <c r="M506" i="5"/>
  <c r="N506" i="5"/>
  <c r="O506" i="5"/>
  <c r="P506" i="5"/>
  <c r="Q506" i="5"/>
  <c r="R506" i="5"/>
  <c r="S506" i="5"/>
  <c r="T506" i="5"/>
  <c r="U506" i="5"/>
  <c r="V506" i="5"/>
  <c r="W506" i="5"/>
  <c r="X506" i="5"/>
  <c r="Y506" i="5"/>
  <c r="Z506" i="5"/>
  <c r="V512" i="5"/>
  <c r="V511" i="5" s="1"/>
  <c r="J513" i="5"/>
  <c r="J512" i="5" s="1"/>
  <c r="J511" i="5" s="1"/>
  <c r="K513" i="5"/>
  <c r="K512" i="5" s="1"/>
  <c r="K511" i="5" s="1"/>
  <c r="L513" i="5"/>
  <c r="L512" i="5" s="1"/>
  <c r="L511" i="5" s="1"/>
  <c r="M513" i="5"/>
  <c r="M512" i="5" s="1"/>
  <c r="M511" i="5" s="1"/>
  <c r="N513" i="5"/>
  <c r="N512" i="5" s="1"/>
  <c r="N511" i="5" s="1"/>
  <c r="O513" i="5"/>
  <c r="O512" i="5" s="1"/>
  <c r="O511" i="5" s="1"/>
  <c r="P513" i="5"/>
  <c r="P512" i="5" s="1"/>
  <c r="P511" i="5" s="1"/>
  <c r="Q513" i="5"/>
  <c r="Q512" i="5" s="1"/>
  <c r="Q511" i="5" s="1"/>
  <c r="R513" i="5"/>
  <c r="R512" i="5" s="1"/>
  <c r="R511" i="5" s="1"/>
  <c r="S513" i="5"/>
  <c r="S512" i="5" s="1"/>
  <c r="S511" i="5" s="1"/>
  <c r="T513" i="5"/>
  <c r="T512" i="5" s="1"/>
  <c r="T511" i="5" s="1"/>
  <c r="U513" i="5"/>
  <c r="U512" i="5" s="1"/>
  <c r="U511" i="5" s="1"/>
  <c r="W513" i="5"/>
  <c r="W512" i="5" s="1"/>
  <c r="W511" i="5" s="1"/>
  <c r="X513" i="5"/>
  <c r="X512" i="5" s="1"/>
  <c r="X511" i="5" s="1"/>
  <c r="Y513" i="5"/>
  <c r="Y512" i="5" s="1"/>
  <c r="Y511" i="5" s="1"/>
  <c r="Z513" i="5"/>
  <c r="Z512" i="5" s="1"/>
  <c r="Z511" i="5" s="1"/>
  <c r="J518" i="5"/>
  <c r="K518" i="5"/>
  <c r="M518" i="5"/>
  <c r="P518" i="5"/>
  <c r="Q518" i="5"/>
  <c r="U518" i="5"/>
  <c r="V518" i="5"/>
  <c r="Y518" i="5"/>
  <c r="L519" i="5"/>
  <c r="L518" i="5" s="1"/>
  <c r="N519" i="5"/>
  <c r="N518" i="5" s="1"/>
  <c r="O519" i="5"/>
  <c r="O518" i="5" s="1"/>
  <c r="R519" i="5"/>
  <c r="R518" i="5" s="1"/>
  <c r="S519" i="5"/>
  <c r="S518" i="5" s="1"/>
  <c r="T519" i="5"/>
  <c r="T518" i="5" s="1"/>
  <c r="W519" i="5"/>
  <c r="W518" i="5" s="1"/>
  <c r="X519" i="5"/>
  <c r="X518" i="5" s="1"/>
  <c r="Z519" i="5"/>
  <c r="Z518" i="5" s="1"/>
  <c r="J520" i="5"/>
  <c r="K520" i="5"/>
  <c r="M520" i="5"/>
  <c r="P520" i="5"/>
  <c r="Q520" i="5"/>
  <c r="U520" i="5"/>
  <c r="V520" i="5"/>
  <c r="Y520" i="5"/>
  <c r="L521" i="5"/>
  <c r="L520" i="5" s="1"/>
  <c r="N521" i="5"/>
  <c r="O521" i="5"/>
  <c r="O520" i="5" s="1"/>
  <c r="S521" i="5"/>
  <c r="S520" i="5" s="1"/>
  <c r="T521" i="5"/>
  <c r="T520" i="5" s="1"/>
  <c r="W521" i="5"/>
  <c r="W520" i="5" s="1"/>
  <c r="X521" i="5"/>
  <c r="X520" i="5" s="1"/>
  <c r="Z521" i="5"/>
  <c r="Z520" i="5" s="1"/>
  <c r="J522" i="5"/>
  <c r="K522" i="5"/>
  <c r="L522" i="5"/>
  <c r="M522" i="5"/>
  <c r="N522" i="5"/>
  <c r="O522" i="5"/>
  <c r="P522" i="5"/>
  <c r="Q522" i="5"/>
  <c r="R522" i="5"/>
  <c r="S522" i="5"/>
  <c r="T522" i="5"/>
  <c r="U522" i="5"/>
  <c r="V522" i="5"/>
  <c r="W522" i="5"/>
  <c r="X522" i="5"/>
  <c r="Y522" i="5"/>
  <c r="Z522" i="5"/>
  <c r="J525" i="5"/>
  <c r="K525" i="5"/>
  <c r="L525" i="5"/>
  <c r="M525" i="5"/>
  <c r="N525" i="5"/>
  <c r="O525" i="5"/>
  <c r="P525" i="5"/>
  <c r="Q525" i="5"/>
  <c r="R525" i="5"/>
  <c r="S525" i="5"/>
  <c r="T525" i="5"/>
  <c r="U525" i="5"/>
  <c r="V525" i="5"/>
  <c r="W525" i="5"/>
  <c r="X525" i="5"/>
  <c r="Y525" i="5"/>
  <c r="Z525" i="5"/>
  <c r="J527" i="5"/>
  <c r="K527" i="5"/>
  <c r="L527" i="5"/>
  <c r="M527" i="5"/>
  <c r="N527" i="5"/>
  <c r="P527" i="5"/>
  <c r="Q527" i="5"/>
  <c r="R527" i="5"/>
  <c r="U527" i="5"/>
  <c r="V527" i="5"/>
  <c r="Y527" i="5"/>
  <c r="O528" i="5"/>
  <c r="O527" i="5" s="1"/>
  <c r="S528" i="5"/>
  <c r="S527" i="5" s="1"/>
  <c r="T528" i="5"/>
  <c r="T527" i="5" s="1"/>
  <c r="W528" i="5"/>
  <c r="W527" i="5" s="1"/>
  <c r="X528" i="5"/>
  <c r="X527" i="5" s="1"/>
  <c r="Z528" i="5"/>
  <c r="Z527" i="5" s="1"/>
  <c r="J529" i="5"/>
  <c r="K529" i="5"/>
  <c r="L529" i="5"/>
  <c r="M529" i="5"/>
  <c r="N529" i="5"/>
  <c r="O529" i="5"/>
  <c r="P529" i="5"/>
  <c r="Q529" i="5"/>
  <c r="R529" i="5"/>
  <c r="S529" i="5"/>
  <c r="T529" i="5"/>
  <c r="U529" i="5"/>
  <c r="V529" i="5"/>
  <c r="W529" i="5"/>
  <c r="X529" i="5"/>
  <c r="Y529" i="5"/>
  <c r="Z529" i="5"/>
  <c r="J531" i="5"/>
  <c r="K531" i="5"/>
  <c r="L531" i="5"/>
  <c r="M531" i="5"/>
  <c r="N531" i="5"/>
  <c r="O531" i="5"/>
  <c r="P531" i="5"/>
  <c r="Q531" i="5"/>
  <c r="R531" i="5"/>
  <c r="S531" i="5"/>
  <c r="T531" i="5"/>
  <c r="U531" i="5"/>
  <c r="V531" i="5"/>
  <c r="W531" i="5"/>
  <c r="X531" i="5"/>
  <c r="Y531" i="5"/>
  <c r="Z531" i="5"/>
  <c r="K537" i="5"/>
  <c r="K536" i="5" s="1"/>
  <c r="L537" i="5"/>
  <c r="L536" i="5" s="1"/>
  <c r="M537" i="5"/>
  <c r="M536" i="5" s="1"/>
  <c r="N537" i="5"/>
  <c r="N536" i="5" s="1"/>
  <c r="O537" i="5"/>
  <c r="O536" i="5" s="1"/>
  <c r="P537" i="5"/>
  <c r="P536" i="5" s="1"/>
  <c r="Q537" i="5"/>
  <c r="Q536" i="5" s="1"/>
  <c r="R537" i="5"/>
  <c r="R536" i="5" s="1"/>
  <c r="S537" i="5"/>
  <c r="S536" i="5" s="1"/>
  <c r="T537" i="5"/>
  <c r="T536" i="5" s="1"/>
  <c r="U537" i="5"/>
  <c r="U536" i="5" s="1"/>
  <c r="V537" i="5"/>
  <c r="V536" i="5" s="1"/>
  <c r="W537" i="5"/>
  <c r="W536" i="5" s="1"/>
  <c r="X537" i="5"/>
  <c r="X536" i="5" s="1"/>
  <c r="Y537" i="5"/>
  <c r="Y536" i="5" s="1"/>
  <c r="Z537" i="5"/>
  <c r="Z536" i="5" s="1"/>
  <c r="J538" i="5"/>
  <c r="J537" i="5" s="1"/>
  <c r="J536" i="5" s="1"/>
  <c r="M557" i="5"/>
  <c r="P557" i="5"/>
  <c r="Q557" i="5"/>
  <c r="U557" i="5"/>
  <c r="V557" i="5"/>
  <c r="W557" i="5"/>
  <c r="Y557" i="5"/>
  <c r="L558" i="5"/>
  <c r="L557" i="5" s="1"/>
  <c r="O558" i="5"/>
  <c r="O557" i="5" s="1"/>
  <c r="T558" i="5"/>
  <c r="X558" i="5" s="1"/>
  <c r="X557" i="5" s="1"/>
  <c r="Z558" i="5"/>
  <c r="Z557" i="5" s="1"/>
  <c r="L559" i="5"/>
  <c r="M559" i="5"/>
  <c r="O559" i="5"/>
  <c r="P559" i="5"/>
  <c r="Q559" i="5"/>
  <c r="T559" i="5"/>
  <c r="U559" i="5"/>
  <c r="V559" i="5"/>
  <c r="W559" i="5"/>
  <c r="Y559" i="5"/>
  <c r="Z559" i="5"/>
  <c r="N560" i="5"/>
  <c r="S560" i="5"/>
  <c r="S559" i="5" s="1"/>
  <c r="X560" i="5"/>
  <c r="X559" i="5" s="1"/>
  <c r="J565" i="5"/>
  <c r="K565" i="5"/>
  <c r="L565" i="5"/>
  <c r="M565" i="5"/>
  <c r="N565" i="5"/>
  <c r="O565" i="5"/>
  <c r="P565" i="5"/>
  <c r="Q565" i="5"/>
  <c r="R565" i="5"/>
  <c r="S565" i="5"/>
  <c r="T565" i="5"/>
  <c r="U565" i="5"/>
  <c r="V565" i="5"/>
  <c r="W565" i="5"/>
  <c r="X565" i="5"/>
  <c r="Y565" i="5"/>
  <c r="Z565" i="5"/>
  <c r="J567" i="5"/>
  <c r="K567" i="5"/>
  <c r="L567" i="5"/>
  <c r="M567" i="5"/>
  <c r="O567" i="5"/>
  <c r="O564" i="5" s="1"/>
  <c r="O563" i="5" s="1"/>
  <c r="P567" i="5"/>
  <c r="P564" i="5" s="1"/>
  <c r="P563" i="5" s="1"/>
  <c r="Q567" i="5"/>
  <c r="Q564" i="5" s="1"/>
  <c r="Q563" i="5" s="1"/>
  <c r="R567" i="5"/>
  <c r="R564" i="5" s="1"/>
  <c r="R563" i="5" s="1"/>
  <c r="S567" i="5"/>
  <c r="S564" i="5" s="1"/>
  <c r="S563" i="5" s="1"/>
  <c r="T567" i="5"/>
  <c r="T564" i="5" s="1"/>
  <c r="T563" i="5" s="1"/>
  <c r="U567" i="5"/>
  <c r="U564" i="5" s="1"/>
  <c r="U563" i="5" s="1"/>
  <c r="V567" i="5"/>
  <c r="V564" i="5" s="1"/>
  <c r="V563" i="5" s="1"/>
  <c r="W567" i="5"/>
  <c r="W564" i="5" s="1"/>
  <c r="W563" i="5" s="1"/>
  <c r="X567" i="5"/>
  <c r="X564" i="5" s="1"/>
  <c r="X563" i="5" s="1"/>
  <c r="Y567" i="5"/>
  <c r="Y564" i="5" s="1"/>
  <c r="Y563" i="5" s="1"/>
  <c r="Z567" i="5"/>
  <c r="Z564" i="5" s="1"/>
  <c r="Z563" i="5" s="1"/>
  <c r="N568" i="5"/>
  <c r="N567" i="5" s="1"/>
  <c r="J580" i="5"/>
  <c r="J579" i="5" s="1"/>
  <c r="J578" i="5" s="1"/>
  <c r="K580" i="5"/>
  <c r="K579" i="5" s="1"/>
  <c r="K578" i="5" s="1"/>
  <c r="L580" i="5"/>
  <c r="L579" i="5" s="1"/>
  <c r="L578" i="5" s="1"/>
  <c r="M580" i="5"/>
  <c r="M579" i="5" s="1"/>
  <c r="M578" i="5" s="1"/>
  <c r="N580" i="5"/>
  <c r="N579" i="5" s="1"/>
  <c r="N578" i="5" s="1"/>
  <c r="O580" i="5"/>
  <c r="O579" i="5" s="1"/>
  <c r="O578" i="5" s="1"/>
  <c r="P580" i="5"/>
  <c r="P579" i="5" s="1"/>
  <c r="P578" i="5" s="1"/>
  <c r="Q580" i="5"/>
  <c r="Q579" i="5" s="1"/>
  <c r="Q578" i="5" s="1"/>
  <c r="R580" i="5"/>
  <c r="R579" i="5" s="1"/>
  <c r="R578" i="5" s="1"/>
  <c r="S580" i="5"/>
  <c r="S579" i="5" s="1"/>
  <c r="S578" i="5" s="1"/>
  <c r="T580" i="5"/>
  <c r="T579" i="5" s="1"/>
  <c r="T578" i="5" s="1"/>
  <c r="U580" i="5"/>
  <c r="U579" i="5" s="1"/>
  <c r="U578" i="5" s="1"/>
  <c r="V580" i="5"/>
  <c r="V579" i="5" s="1"/>
  <c r="V578" i="5" s="1"/>
  <c r="W580" i="5"/>
  <c r="W579" i="5" s="1"/>
  <c r="W578" i="5" s="1"/>
  <c r="X580" i="5"/>
  <c r="X579" i="5" s="1"/>
  <c r="X578" i="5" s="1"/>
  <c r="Y580" i="5"/>
  <c r="Y579" i="5" s="1"/>
  <c r="Y578" i="5" s="1"/>
  <c r="Z580" i="5"/>
  <c r="Z579" i="5" s="1"/>
  <c r="Z578" i="5" s="1"/>
  <c r="J582" i="5"/>
  <c r="J581" i="5" s="1"/>
  <c r="K582" i="5"/>
  <c r="K581" i="5" s="1"/>
  <c r="L582" i="5"/>
  <c r="L581" i="5" s="1"/>
  <c r="M582" i="5"/>
  <c r="M581" i="5" s="1"/>
  <c r="N582" i="5"/>
  <c r="N581" i="5" s="1"/>
  <c r="O582" i="5"/>
  <c r="O581" i="5" s="1"/>
  <c r="P582" i="5"/>
  <c r="P581" i="5" s="1"/>
  <c r="Q582" i="5"/>
  <c r="Q581" i="5" s="1"/>
  <c r="R582" i="5"/>
  <c r="R581" i="5" s="1"/>
  <c r="S582" i="5"/>
  <c r="S581" i="5" s="1"/>
  <c r="T582" i="5"/>
  <c r="T581" i="5" s="1"/>
  <c r="U582" i="5"/>
  <c r="U581" i="5" s="1"/>
  <c r="V582" i="5"/>
  <c r="V581" i="5" s="1"/>
  <c r="W582" i="5"/>
  <c r="W581" i="5" s="1"/>
  <c r="X582" i="5"/>
  <c r="X581" i="5" s="1"/>
  <c r="Y582" i="5"/>
  <c r="Y581" i="5" s="1"/>
  <c r="Z582" i="5"/>
  <c r="Z581" i="5" s="1"/>
  <c r="J585" i="5"/>
  <c r="J584" i="5" s="1"/>
  <c r="K585" i="5"/>
  <c r="K584" i="5" s="1"/>
  <c r="L585" i="5"/>
  <c r="L584" i="5" s="1"/>
  <c r="M585" i="5"/>
  <c r="M584" i="5" s="1"/>
  <c r="N585" i="5"/>
  <c r="N584" i="5" s="1"/>
  <c r="O585" i="5"/>
  <c r="O584" i="5" s="1"/>
  <c r="P585" i="5"/>
  <c r="P584" i="5" s="1"/>
  <c r="Q585" i="5"/>
  <c r="Q584" i="5" s="1"/>
  <c r="R585" i="5"/>
  <c r="R584" i="5" s="1"/>
  <c r="S585" i="5"/>
  <c r="S584" i="5" s="1"/>
  <c r="T585" i="5"/>
  <c r="T584" i="5" s="1"/>
  <c r="U585" i="5"/>
  <c r="U584" i="5" s="1"/>
  <c r="V585" i="5"/>
  <c r="V584" i="5" s="1"/>
  <c r="W585" i="5"/>
  <c r="W584" i="5" s="1"/>
  <c r="X585" i="5"/>
  <c r="X584" i="5" s="1"/>
  <c r="Y585" i="5"/>
  <c r="Y584" i="5" s="1"/>
  <c r="Z585" i="5"/>
  <c r="Z584" i="5" s="1"/>
  <c r="J588" i="5"/>
  <c r="J587" i="5" s="1"/>
  <c r="K588" i="5"/>
  <c r="K587" i="5" s="1"/>
  <c r="L588" i="5"/>
  <c r="L587" i="5" s="1"/>
  <c r="M588" i="5"/>
  <c r="M587" i="5" s="1"/>
  <c r="N588" i="5"/>
  <c r="N587" i="5" s="1"/>
  <c r="O588" i="5"/>
  <c r="O587" i="5" s="1"/>
  <c r="P588" i="5"/>
  <c r="P587" i="5" s="1"/>
  <c r="Q588" i="5"/>
  <c r="Q587" i="5" s="1"/>
  <c r="R588" i="5"/>
  <c r="R587" i="5" s="1"/>
  <c r="S588" i="5"/>
  <c r="S587" i="5" s="1"/>
  <c r="T588" i="5"/>
  <c r="T587" i="5" s="1"/>
  <c r="U588" i="5"/>
  <c r="U587" i="5" s="1"/>
  <c r="V588" i="5"/>
  <c r="V587" i="5" s="1"/>
  <c r="W588" i="5"/>
  <c r="W587" i="5" s="1"/>
  <c r="X588" i="5"/>
  <c r="X587" i="5" s="1"/>
  <c r="Y588" i="5"/>
  <c r="Y587" i="5" s="1"/>
  <c r="Z588" i="5"/>
  <c r="Z587" i="5" s="1"/>
  <c r="J591" i="5"/>
  <c r="J590" i="5" s="1"/>
  <c r="K591" i="5"/>
  <c r="K590" i="5" s="1"/>
  <c r="L591" i="5"/>
  <c r="L590" i="5" s="1"/>
  <c r="M591" i="5"/>
  <c r="M590" i="5" s="1"/>
  <c r="N591" i="5"/>
  <c r="N590" i="5" s="1"/>
  <c r="O591" i="5"/>
  <c r="O590" i="5" s="1"/>
  <c r="P591" i="5"/>
  <c r="P590" i="5" s="1"/>
  <c r="Q591" i="5"/>
  <c r="Q590" i="5" s="1"/>
  <c r="R591" i="5"/>
  <c r="R590" i="5" s="1"/>
  <c r="S591" i="5"/>
  <c r="S590" i="5" s="1"/>
  <c r="T591" i="5"/>
  <c r="T590" i="5" s="1"/>
  <c r="U591" i="5"/>
  <c r="U590" i="5" s="1"/>
  <c r="V591" i="5"/>
  <c r="V590" i="5" s="1"/>
  <c r="W591" i="5"/>
  <c r="W590" i="5" s="1"/>
  <c r="X591" i="5"/>
  <c r="X590" i="5" s="1"/>
  <c r="Y591" i="5"/>
  <c r="Y590" i="5" s="1"/>
  <c r="Z591" i="5"/>
  <c r="Z590" i="5" s="1"/>
  <c r="K594" i="5"/>
  <c r="M594" i="5"/>
  <c r="P594" i="5"/>
  <c r="Q594" i="5"/>
  <c r="U594" i="5"/>
  <c r="V594" i="5"/>
  <c r="Y594" i="5"/>
  <c r="J595" i="5"/>
  <c r="J594" i="5" s="1"/>
  <c r="L595" i="5"/>
  <c r="L594" i="5" s="1"/>
  <c r="N595" i="5"/>
  <c r="O595" i="5"/>
  <c r="O594" i="5" s="1"/>
  <c r="S595" i="5"/>
  <c r="S594" i="5" s="1"/>
  <c r="T595" i="5"/>
  <c r="T594" i="5" s="1"/>
  <c r="W595" i="5"/>
  <c r="W594" i="5" s="1"/>
  <c r="X595" i="5"/>
  <c r="X594" i="5" s="1"/>
  <c r="Z595" i="5"/>
  <c r="Z594" i="5" s="1"/>
  <c r="J596" i="5"/>
  <c r="K596" i="5"/>
  <c r="L596" i="5"/>
  <c r="M596" i="5"/>
  <c r="N596" i="5"/>
  <c r="O596" i="5"/>
  <c r="P596" i="5"/>
  <c r="Q596" i="5"/>
  <c r="R596" i="5"/>
  <c r="S596" i="5"/>
  <c r="T596" i="5"/>
  <c r="U596" i="5"/>
  <c r="V596" i="5"/>
  <c r="W596" i="5"/>
  <c r="X596" i="5"/>
  <c r="Y596" i="5"/>
  <c r="Z596" i="5"/>
  <c r="J599" i="5"/>
  <c r="J598" i="5" s="1"/>
  <c r="K599" i="5"/>
  <c r="K598" i="5" s="1"/>
  <c r="L599" i="5"/>
  <c r="L598" i="5" s="1"/>
  <c r="M599" i="5"/>
  <c r="M598" i="5" s="1"/>
  <c r="N599" i="5"/>
  <c r="N598" i="5" s="1"/>
  <c r="O599" i="5"/>
  <c r="O598" i="5" s="1"/>
  <c r="P599" i="5"/>
  <c r="P598" i="5" s="1"/>
  <c r="Q599" i="5"/>
  <c r="Q598" i="5" s="1"/>
  <c r="R599" i="5"/>
  <c r="R598" i="5" s="1"/>
  <c r="S599" i="5"/>
  <c r="S598" i="5" s="1"/>
  <c r="T599" i="5"/>
  <c r="T598" i="5" s="1"/>
  <c r="U599" i="5"/>
  <c r="U598" i="5" s="1"/>
  <c r="V599" i="5"/>
  <c r="V598" i="5" s="1"/>
  <c r="W599" i="5"/>
  <c r="W598" i="5" s="1"/>
  <c r="X599" i="5"/>
  <c r="X598" i="5" s="1"/>
  <c r="Y599" i="5"/>
  <c r="Y598" i="5" s="1"/>
  <c r="Z599" i="5"/>
  <c r="Z598" i="5" s="1"/>
  <c r="L602" i="5"/>
  <c r="L601" i="5" s="1"/>
  <c r="M602" i="5"/>
  <c r="M601" i="5" s="1"/>
  <c r="N602" i="5"/>
  <c r="N601" i="5" s="1"/>
  <c r="N57" i="5" s="1"/>
  <c r="O602" i="5"/>
  <c r="O601" i="5" s="1"/>
  <c r="P602" i="5"/>
  <c r="P601" i="5" s="1"/>
  <c r="Q602" i="5"/>
  <c r="Q601" i="5" s="1"/>
  <c r="R602" i="5"/>
  <c r="R601" i="5" s="1"/>
  <c r="S602" i="5"/>
  <c r="S601" i="5" s="1"/>
  <c r="T602" i="5"/>
  <c r="T601" i="5" s="1"/>
  <c r="U602" i="5"/>
  <c r="U601" i="5" s="1"/>
  <c r="V602" i="5"/>
  <c r="V601" i="5" s="1"/>
  <c r="W602" i="5"/>
  <c r="W601" i="5" s="1"/>
  <c r="X602" i="5"/>
  <c r="X601" i="5" s="1"/>
  <c r="Y602" i="5"/>
  <c r="Y601" i="5" s="1"/>
  <c r="Z602" i="5"/>
  <c r="Z601" i="5" s="1"/>
  <c r="L23" i="3"/>
  <c r="L22" i="3" s="1"/>
  <c r="M23" i="3"/>
  <c r="M22" i="3" s="1"/>
  <c r="N23" i="3"/>
  <c r="N22" i="3" s="1"/>
  <c r="O23" i="3"/>
  <c r="O22" i="3" s="1"/>
  <c r="P23" i="3"/>
  <c r="P22" i="3" s="1"/>
  <c r="Q23" i="3"/>
  <c r="Q22" i="3" s="1"/>
  <c r="R23" i="3"/>
  <c r="R22" i="3" s="1"/>
  <c r="S23" i="3"/>
  <c r="S22" i="3" s="1"/>
  <c r="T23" i="3"/>
  <c r="T22" i="3" s="1"/>
  <c r="U23" i="3"/>
  <c r="U22" i="3" s="1"/>
  <c r="V23" i="3"/>
  <c r="V22" i="3" s="1"/>
  <c r="W23" i="3"/>
  <c r="W22" i="3" s="1"/>
  <c r="X23" i="3"/>
  <c r="X22" i="3" s="1"/>
  <c r="Y23" i="3"/>
  <c r="Y22" i="3" s="1"/>
  <c r="Z23" i="3"/>
  <c r="Z22" i="3" s="1"/>
  <c r="AA23" i="3"/>
  <c r="AA22" i="3" s="1"/>
  <c r="AB23" i="3"/>
  <c r="AB22" i="3" s="1"/>
  <c r="M26" i="3"/>
  <c r="M25" i="3" s="1"/>
  <c r="N26" i="3"/>
  <c r="N25" i="3" s="1"/>
  <c r="O26" i="3"/>
  <c r="O25" i="3" s="1"/>
  <c r="P26" i="3"/>
  <c r="P25" i="3" s="1"/>
  <c r="Q26" i="3"/>
  <c r="Q25" i="3" s="1"/>
  <c r="R26" i="3"/>
  <c r="R25" i="3" s="1"/>
  <c r="S26" i="3"/>
  <c r="S25" i="3" s="1"/>
  <c r="T26" i="3"/>
  <c r="T25" i="3" s="1"/>
  <c r="U26" i="3"/>
  <c r="U25" i="3" s="1"/>
  <c r="V26" i="3"/>
  <c r="V25" i="3" s="1"/>
  <c r="W26" i="3"/>
  <c r="W25" i="3" s="1"/>
  <c r="X26" i="3"/>
  <c r="X25" i="3" s="1"/>
  <c r="Y26" i="3"/>
  <c r="Y25" i="3" s="1"/>
  <c r="Z26" i="3"/>
  <c r="Z25" i="3" s="1"/>
  <c r="AA26" i="3"/>
  <c r="AA25" i="3" s="1"/>
  <c r="AB26" i="3"/>
  <c r="AB25" i="3" s="1"/>
  <c r="L27" i="3"/>
  <c r="L26" i="3" s="1"/>
  <c r="L25" i="3" s="1"/>
  <c r="L29" i="3"/>
  <c r="L28" i="3" s="1"/>
  <c r="M29" i="3"/>
  <c r="M28" i="3" s="1"/>
  <c r="N29" i="3"/>
  <c r="N28" i="3" s="1"/>
  <c r="O29" i="3"/>
  <c r="O28" i="3" s="1"/>
  <c r="P29" i="3"/>
  <c r="P28" i="3" s="1"/>
  <c r="Q29" i="3"/>
  <c r="Q28" i="3" s="1"/>
  <c r="R29" i="3"/>
  <c r="R28" i="3" s="1"/>
  <c r="S29" i="3"/>
  <c r="S28" i="3" s="1"/>
  <c r="T29" i="3"/>
  <c r="T28" i="3" s="1"/>
  <c r="V29" i="3"/>
  <c r="V28" i="3" s="1"/>
  <c r="W29" i="3"/>
  <c r="W28" i="3" s="1"/>
  <c r="X29" i="3"/>
  <c r="X28" i="3" s="1"/>
  <c r="Y29" i="3"/>
  <c r="Y28" i="3" s="1"/>
  <c r="AA29" i="3"/>
  <c r="AA28" i="3" s="1"/>
  <c r="U30" i="3"/>
  <c r="U29" i="3" s="1"/>
  <c r="U28" i="3" s="1"/>
  <c r="Z30" i="3"/>
  <c r="Z29" i="3" s="1"/>
  <c r="Z28" i="3" s="1"/>
  <c r="AB30" i="3"/>
  <c r="L32" i="3"/>
  <c r="L31" i="3" s="1"/>
  <c r="M32" i="3"/>
  <c r="M31" i="3" s="1"/>
  <c r="N32" i="3"/>
  <c r="N31" i="3" s="1"/>
  <c r="O32" i="3"/>
  <c r="O31" i="3" s="1"/>
  <c r="P32" i="3"/>
  <c r="P31" i="3" s="1"/>
  <c r="Q32" i="3"/>
  <c r="Q31" i="3" s="1"/>
  <c r="R32" i="3"/>
  <c r="R31" i="3" s="1"/>
  <c r="S32" i="3"/>
  <c r="S31" i="3" s="1"/>
  <c r="T32" i="3"/>
  <c r="T31" i="3" s="1"/>
  <c r="U32" i="3"/>
  <c r="U31" i="3" s="1"/>
  <c r="V32" i="3"/>
  <c r="V31" i="3" s="1"/>
  <c r="W32" i="3"/>
  <c r="W31" i="3" s="1"/>
  <c r="X32" i="3"/>
  <c r="X31" i="3" s="1"/>
  <c r="Y32" i="3"/>
  <c r="Y31" i="3" s="1"/>
  <c r="Z32" i="3"/>
  <c r="Z31" i="3" s="1"/>
  <c r="AA32" i="3"/>
  <c r="AA31" i="3" s="1"/>
  <c r="AB32" i="3"/>
  <c r="AB31" i="3" s="1"/>
  <c r="L35" i="3"/>
  <c r="L34" i="3" s="1"/>
  <c r="M35" i="3"/>
  <c r="M34" i="3" s="1"/>
  <c r="N35" i="3"/>
  <c r="N34" i="3" s="1"/>
  <c r="O35" i="3"/>
  <c r="O34" i="3" s="1"/>
  <c r="P35" i="3"/>
  <c r="P34" i="3" s="1"/>
  <c r="Q35" i="3"/>
  <c r="Q34" i="3" s="1"/>
  <c r="R35" i="3"/>
  <c r="R34" i="3" s="1"/>
  <c r="S35" i="3"/>
  <c r="S34" i="3" s="1"/>
  <c r="T35" i="3"/>
  <c r="T34" i="3" s="1"/>
  <c r="U35" i="3"/>
  <c r="U34" i="3" s="1"/>
  <c r="V35" i="3"/>
  <c r="V34" i="3" s="1"/>
  <c r="W35" i="3"/>
  <c r="W34" i="3" s="1"/>
  <c r="X35" i="3"/>
  <c r="X34" i="3" s="1"/>
  <c r="Y35" i="3"/>
  <c r="Y34" i="3" s="1"/>
  <c r="Z35" i="3"/>
  <c r="Z34" i="3" s="1"/>
  <c r="AA35" i="3"/>
  <c r="AA34" i="3" s="1"/>
  <c r="AB35" i="3"/>
  <c r="AB34" i="3" s="1"/>
  <c r="L38" i="3"/>
  <c r="L37" i="3" s="1"/>
  <c r="M38" i="3"/>
  <c r="M37" i="3" s="1"/>
  <c r="N38" i="3"/>
  <c r="N37" i="3" s="1"/>
  <c r="O38" i="3"/>
  <c r="O37" i="3" s="1"/>
  <c r="P38" i="3"/>
  <c r="P37" i="3" s="1"/>
  <c r="Q38" i="3"/>
  <c r="Q37" i="3" s="1"/>
  <c r="R38" i="3"/>
  <c r="R37" i="3" s="1"/>
  <c r="S38" i="3"/>
  <c r="S37" i="3" s="1"/>
  <c r="T38" i="3"/>
  <c r="T37" i="3" s="1"/>
  <c r="U38" i="3"/>
  <c r="U37" i="3" s="1"/>
  <c r="V38" i="3"/>
  <c r="V37" i="3" s="1"/>
  <c r="W38" i="3"/>
  <c r="W37" i="3" s="1"/>
  <c r="X38" i="3"/>
  <c r="X37" i="3" s="1"/>
  <c r="Y38" i="3"/>
  <c r="Y37" i="3" s="1"/>
  <c r="Z38" i="3"/>
  <c r="Z37" i="3" s="1"/>
  <c r="AA38" i="3"/>
  <c r="AA37" i="3" s="1"/>
  <c r="AB38" i="3"/>
  <c r="AB37" i="3" s="1"/>
  <c r="L41" i="3"/>
  <c r="L40" i="3" s="1"/>
  <c r="M41" i="3"/>
  <c r="M40" i="3" s="1"/>
  <c r="N41" i="3"/>
  <c r="N40" i="3" s="1"/>
  <c r="O41" i="3"/>
  <c r="O40" i="3" s="1"/>
  <c r="P41" i="3"/>
  <c r="Q41" i="3"/>
  <c r="Q40" i="3" s="1"/>
  <c r="R41" i="3"/>
  <c r="R40" i="3" s="1"/>
  <c r="S41" i="3"/>
  <c r="S40" i="3" s="1"/>
  <c r="U41" i="3"/>
  <c r="U40" i="3" s="1"/>
  <c r="V41" i="3"/>
  <c r="V40" i="3" s="1"/>
  <c r="W41" i="3"/>
  <c r="W40" i="3" s="1"/>
  <c r="X41" i="3"/>
  <c r="X40" i="3" s="1"/>
  <c r="Y41" i="3"/>
  <c r="Y40" i="3" s="1"/>
  <c r="Z41" i="3"/>
  <c r="Z40" i="3" s="1"/>
  <c r="AA41" i="3"/>
  <c r="AA40" i="3" s="1"/>
  <c r="AB41" i="3"/>
  <c r="AB40" i="3" s="1"/>
  <c r="M46" i="3"/>
  <c r="M45" i="3" s="1"/>
  <c r="N46" i="3"/>
  <c r="N45" i="3" s="1"/>
  <c r="O46" i="3"/>
  <c r="O45" i="3" s="1"/>
  <c r="P46" i="3"/>
  <c r="P45" i="3" s="1"/>
  <c r="R46" i="3"/>
  <c r="R45" i="3" s="1"/>
  <c r="S46" i="3"/>
  <c r="S45" i="3" s="1"/>
  <c r="T46" i="3"/>
  <c r="T45" i="3" s="1"/>
  <c r="W46" i="3"/>
  <c r="W45" i="3" s="1"/>
  <c r="X46" i="3"/>
  <c r="X45" i="3" s="1"/>
  <c r="AA46" i="3"/>
  <c r="AA45" i="3" s="1"/>
  <c r="L47" i="3"/>
  <c r="L46" i="3" s="1"/>
  <c r="L45" i="3" s="1"/>
  <c r="Q47" i="3"/>
  <c r="Q46" i="3" s="1"/>
  <c r="Q45" i="3" s="1"/>
  <c r="U47" i="3"/>
  <c r="U46" i="3" s="1"/>
  <c r="U45" i="3" s="1"/>
  <c r="V47" i="3"/>
  <c r="V46" i="3" s="1"/>
  <c r="V45" i="3" s="1"/>
  <c r="Y47" i="3"/>
  <c r="Y46" i="3" s="1"/>
  <c r="Y45" i="3" s="1"/>
  <c r="Z47" i="3"/>
  <c r="Z46" i="3" s="1"/>
  <c r="Z45" i="3" s="1"/>
  <c r="AB47" i="3"/>
  <c r="AB46" i="3" s="1"/>
  <c r="AB45" i="3" s="1"/>
  <c r="L49" i="3"/>
  <c r="L48" i="3" s="1"/>
  <c r="M49" i="3"/>
  <c r="M48" i="3" s="1"/>
  <c r="N49" i="3"/>
  <c r="N48" i="3" s="1"/>
  <c r="O49" i="3"/>
  <c r="O48" i="3" s="1"/>
  <c r="Q49" i="3"/>
  <c r="Q48" i="3" s="1"/>
  <c r="R49" i="3"/>
  <c r="R48" i="3" s="1"/>
  <c r="S49" i="3"/>
  <c r="S48" i="3" s="1"/>
  <c r="V49" i="3"/>
  <c r="V48" i="3" s="1"/>
  <c r="W49" i="3"/>
  <c r="W48" i="3" s="1"/>
  <c r="X49" i="3"/>
  <c r="X48" i="3" s="1"/>
  <c r="Y49" i="3"/>
  <c r="Y48" i="3" s="1"/>
  <c r="AA49" i="3"/>
  <c r="AA48" i="3" s="1"/>
  <c r="AB49" i="3"/>
  <c r="AB48" i="3" s="1"/>
  <c r="U50" i="3"/>
  <c r="U49" i="3" s="1"/>
  <c r="U48" i="3" s="1"/>
  <c r="Z50" i="3"/>
  <c r="Z49" i="3" s="1"/>
  <c r="Z48" i="3" s="1"/>
  <c r="L52" i="3"/>
  <c r="L51" i="3" s="1"/>
  <c r="M52" i="3"/>
  <c r="M51" i="3" s="1"/>
  <c r="N52" i="3"/>
  <c r="N51" i="3" s="1"/>
  <c r="O52" i="3"/>
  <c r="O51" i="3" s="1"/>
  <c r="P52" i="3"/>
  <c r="P51" i="3" s="1"/>
  <c r="Q52" i="3"/>
  <c r="Q51" i="3" s="1"/>
  <c r="R52" i="3"/>
  <c r="R51" i="3" s="1"/>
  <c r="S52" i="3"/>
  <c r="S51" i="3" s="1"/>
  <c r="T52" i="3"/>
  <c r="T51" i="3" s="1"/>
  <c r="U52" i="3"/>
  <c r="U51" i="3" s="1"/>
  <c r="V52" i="3"/>
  <c r="V51" i="3" s="1"/>
  <c r="W52" i="3"/>
  <c r="W51" i="3" s="1"/>
  <c r="X52" i="3"/>
  <c r="X51" i="3" s="1"/>
  <c r="Y52" i="3"/>
  <c r="Y51" i="3" s="1"/>
  <c r="Z52" i="3"/>
  <c r="Z51" i="3" s="1"/>
  <c r="AA52" i="3"/>
  <c r="AA51" i="3" s="1"/>
  <c r="AB52" i="3"/>
  <c r="AB51" i="3" s="1"/>
  <c r="L55" i="3"/>
  <c r="L54" i="3" s="1"/>
  <c r="M55" i="3"/>
  <c r="M54" i="3" s="1"/>
  <c r="N55" i="3"/>
  <c r="N54" i="3" s="1"/>
  <c r="O55" i="3"/>
  <c r="O54" i="3" s="1"/>
  <c r="P55" i="3"/>
  <c r="P54" i="3" s="1"/>
  <c r="Q55" i="3"/>
  <c r="Q54" i="3" s="1"/>
  <c r="R55" i="3"/>
  <c r="R54" i="3" s="1"/>
  <c r="S55" i="3"/>
  <c r="S54" i="3" s="1"/>
  <c r="T55" i="3"/>
  <c r="T54" i="3" s="1"/>
  <c r="U55" i="3"/>
  <c r="U54" i="3" s="1"/>
  <c r="V55" i="3"/>
  <c r="V54" i="3" s="1"/>
  <c r="W55" i="3"/>
  <c r="W54" i="3" s="1"/>
  <c r="X55" i="3"/>
  <c r="X54" i="3" s="1"/>
  <c r="Y55" i="3"/>
  <c r="Y54" i="3" s="1"/>
  <c r="Z55" i="3"/>
  <c r="Z54" i="3" s="1"/>
  <c r="AA55" i="3"/>
  <c r="AA54" i="3" s="1"/>
  <c r="AB55" i="3"/>
  <c r="AB54" i="3" s="1"/>
  <c r="M58" i="3"/>
  <c r="M57" i="3" s="1"/>
  <c r="O58" i="3"/>
  <c r="O57" i="3" s="1"/>
  <c r="R58" i="3"/>
  <c r="R57" i="3" s="1"/>
  <c r="S58" i="3"/>
  <c r="S57" i="3" s="1"/>
  <c r="W58" i="3"/>
  <c r="W57" i="3" s="1"/>
  <c r="X58" i="3"/>
  <c r="X57" i="3" s="1"/>
  <c r="AA58" i="3"/>
  <c r="AA57" i="3" s="1"/>
  <c r="L59" i="3"/>
  <c r="L58" i="3" s="1"/>
  <c r="L57" i="3" s="1"/>
  <c r="N59" i="3"/>
  <c r="N58" i="3" s="1"/>
  <c r="N57" i="3" s="1"/>
  <c r="P59" i="3"/>
  <c r="Q59" i="3"/>
  <c r="Q58" i="3" s="1"/>
  <c r="Q57" i="3" s="1"/>
  <c r="U59" i="3"/>
  <c r="U58" i="3" s="1"/>
  <c r="U57" i="3" s="1"/>
  <c r="V59" i="3"/>
  <c r="V58" i="3" s="1"/>
  <c r="V57" i="3" s="1"/>
  <c r="Y59" i="3"/>
  <c r="Y58" i="3" s="1"/>
  <c r="Y57" i="3" s="1"/>
  <c r="Z59" i="3"/>
  <c r="Z58" i="3" s="1"/>
  <c r="Z57" i="3" s="1"/>
  <c r="AB59" i="3"/>
  <c r="AB58" i="3" s="1"/>
  <c r="AB57" i="3" s="1"/>
  <c r="L64" i="3"/>
  <c r="L63" i="3" s="1"/>
  <c r="M64" i="3"/>
  <c r="M63" i="3" s="1"/>
  <c r="N64" i="3"/>
  <c r="N63" i="3" s="1"/>
  <c r="O64" i="3"/>
  <c r="O63" i="3" s="1"/>
  <c r="P64" i="3"/>
  <c r="P63" i="3" s="1"/>
  <c r="Q64" i="3"/>
  <c r="Q63" i="3" s="1"/>
  <c r="R64" i="3"/>
  <c r="R63" i="3" s="1"/>
  <c r="U64" i="3"/>
  <c r="U63" i="3" s="1"/>
  <c r="V64" i="3"/>
  <c r="V63" i="3" s="1"/>
  <c r="W64" i="3"/>
  <c r="W63" i="3" s="1"/>
  <c r="X64" i="3"/>
  <c r="X63" i="3" s="1"/>
  <c r="Y64" i="3"/>
  <c r="Y63" i="3" s="1"/>
  <c r="Z64" i="3"/>
  <c r="Z63" i="3" s="1"/>
  <c r="AA64" i="3"/>
  <c r="AA63" i="3" s="1"/>
  <c r="AB64" i="3"/>
  <c r="AB63" i="3" s="1"/>
  <c r="M67" i="3"/>
  <c r="M66" i="3" s="1"/>
  <c r="O67" i="3"/>
  <c r="O66" i="3" s="1"/>
  <c r="R67" i="3"/>
  <c r="R66" i="3" s="1"/>
  <c r="S67" i="3"/>
  <c r="S66" i="3" s="1"/>
  <c r="T67" i="3"/>
  <c r="T66" i="3" s="1"/>
  <c r="W67" i="3"/>
  <c r="W66" i="3" s="1"/>
  <c r="X67" i="3"/>
  <c r="X66" i="3" s="1"/>
  <c r="Y67" i="3"/>
  <c r="Y66" i="3" s="1"/>
  <c r="AA67" i="3"/>
  <c r="AA66" i="3" s="1"/>
  <c r="AB67" i="3"/>
  <c r="AB66" i="3" s="1"/>
  <c r="L68" i="3"/>
  <c r="L67" i="3" s="1"/>
  <c r="L66" i="3" s="1"/>
  <c r="N68" i="3"/>
  <c r="N67" i="3" s="1"/>
  <c r="N66" i="3" s="1"/>
  <c r="Q68" i="3"/>
  <c r="Q67" i="3" s="1"/>
  <c r="Q66" i="3" s="1"/>
  <c r="V68" i="3"/>
  <c r="V67" i="3" s="1"/>
  <c r="V66" i="3" s="1"/>
  <c r="N70" i="3"/>
  <c r="N69" i="3" s="1"/>
  <c r="O70" i="3"/>
  <c r="O69" i="3" s="1"/>
  <c r="P70" i="3"/>
  <c r="P69" i="3" s="1"/>
  <c r="Q70" i="3"/>
  <c r="Q69" i="3" s="1"/>
  <c r="R70" i="3"/>
  <c r="R69" i="3" s="1"/>
  <c r="S70" i="3"/>
  <c r="S69" i="3" s="1"/>
  <c r="T70" i="3"/>
  <c r="T69" i="3" s="1"/>
  <c r="U70" i="3"/>
  <c r="U69" i="3" s="1"/>
  <c r="V70" i="3"/>
  <c r="V69" i="3" s="1"/>
  <c r="X70" i="3"/>
  <c r="X69" i="3" s="1"/>
  <c r="Y70" i="3"/>
  <c r="Y69" i="3" s="1"/>
  <c r="Z70" i="3"/>
  <c r="Z69" i="3" s="1"/>
  <c r="AA70" i="3"/>
  <c r="AA69" i="3" s="1"/>
  <c r="AB70" i="3"/>
  <c r="AB69" i="3" s="1"/>
  <c r="M76" i="3"/>
  <c r="M75" i="3" s="1"/>
  <c r="O76" i="3"/>
  <c r="O75" i="3" s="1"/>
  <c r="P76" i="3"/>
  <c r="P75" i="3" s="1"/>
  <c r="R76" i="3"/>
  <c r="R75" i="3" s="1"/>
  <c r="S76" i="3"/>
  <c r="S75" i="3" s="1"/>
  <c r="U76" i="3"/>
  <c r="U75" i="3" s="1"/>
  <c r="W76" i="3"/>
  <c r="W75" i="3" s="1"/>
  <c r="X76" i="3"/>
  <c r="X75" i="3" s="1"/>
  <c r="Z76" i="3"/>
  <c r="Z75" i="3" s="1"/>
  <c r="AA76" i="3"/>
  <c r="AA75" i="3" s="1"/>
  <c r="L77" i="3"/>
  <c r="L76" i="3" s="1"/>
  <c r="L75" i="3" s="1"/>
  <c r="N77" i="3"/>
  <c r="N76" i="3" s="1"/>
  <c r="N75" i="3" s="1"/>
  <c r="Q77" i="3"/>
  <c r="Q76" i="3" s="1"/>
  <c r="Q75" i="3" s="1"/>
  <c r="T76" i="3"/>
  <c r="T75" i="3" s="1"/>
  <c r="V77" i="3"/>
  <c r="V76" i="3" s="1"/>
  <c r="V75" i="3" s="1"/>
  <c r="Y76" i="3"/>
  <c r="Y75" i="3" s="1"/>
  <c r="AB76" i="3"/>
  <c r="AB75" i="3" s="1"/>
  <c r="M79" i="3"/>
  <c r="M78" i="3" s="1"/>
  <c r="O79" i="3"/>
  <c r="O78" i="3" s="1"/>
  <c r="R79" i="3"/>
  <c r="R78" i="3" s="1"/>
  <c r="S79" i="3"/>
  <c r="S78" i="3" s="1"/>
  <c r="W79" i="3"/>
  <c r="W78" i="3" s="1"/>
  <c r="X79" i="3"/>
  <c r="X78" i="3" s="1"/>
  <c r="AA79" i="3"/>
  <c r="AA78" i="3" s="1"/>
  <c r="L80" i="3"/>
  <c r="L79" i="3" s="1"/>
  <c r="L78" i="3" s="1"/>
  <c r="N80" i="3"/>
  <c r="N79" i="3" s="1"/>
  <c r="N78" i="3" s="1"/>
  <c r="P80" i="3"/>
  <c r="P79" i="3" s="1"/>
  <c r="P78" i="3" s="1"/>
  <c r="Q80" i="3"/>
  <c r="Q79" i="3" s="1"/>
  <c r="Q78" i="3" s="1"/>
  <c r="T80" i="3"/>
  <c r="T79" i="3" s="1"/>
  <c r="T78" i="3" s="1"/>
  <c r="U80" i="3"/>
  <c r="U79" i="3" s="1"/>
  <c r="U78" i="3" s="1"/>
  <c r="V80" i="3"/>
  <c r="V79" i="3" s="1"/>
  <c r="V78" i="3" s="1"/>
  <c r="Y80" i="3"/>
  <c r="Y79" i="3" s="1"/>
  <c r="Y78" i="3" s="1"/>
  <c r="Z80" i="3"/>
  <c r="Z79" i="3" s="1"/>
  <c r="Z78" i="3" s="1"/>
  <c r="AB80" i="3"/>
  <c r="AB79" i="3" s="1"/>
  <c r="AB78" i="3" s="1"/>
  <c r="M91" i="3"/>
  <c r="M90" i="3" s="1"/>
  <c r="O91" i="3"/>
  <c r="O90" i="3" s="1"/>
  <c r="R91" i="3"/>
  <c r="R90" i="3" s="1"/>
  <c r="S91" i="3"/>
  <c r="S90" i="3" s="1"/>
  <c r="X91" i="3"/>
  <c r="X90" i="3" s="1"/>
  <c r="Y91" i="3"/>
  <c r="Y90" i="3" s="1"/>
  <c r="AA91" i="3"/>
  <c r="AA90" i="3" s="1"/>
  <c r="AB91" i="3"/>
  <c r="AB90" i="3" s="1"/>
  <c r="L92" i="3"/>
  <c r="L91" i="3" s="1"/>
  <c r="L90" i="3" s="1"/>
  <c r="N92" i="3"/>
  <c r="N91" i="3" s="1"/>
  <c r="N90" i="3" s="1"/>
  <c r="Q92" i="3"/>
  <c r="Q91" i="3" s="1"/>
  <c r="Q90" i="3" s="1"/>
  <c r="V92" i="3"/>
  <c r="V91" i="3" s="1"/>
  <c r="V90" i="3" s="1"/>
  <c r="W92" i="3"/>
  <c r="L94" i="3"/>
  <c r="L93" i="3" s="1"/>
  <c r="M94" i="3"/>
  <c r="M93" i="3" s="1"/>
  <c r="O94" i="3"/>
  <c r="O93" i="3" s="1"/>
  <c r="Q94" i="3"/>
  <c r="Q93" i="3" s="1"/>
  <c r="S94" i="3"/>
  <c r="S93" i="3" s="1"/>
  <c r="T94" i="3"/>
  <c r="T93" i="3" s="1"/>
  <c r="V94" i="3"/>
  <c r="V93" i="3" s="1"/>
  <c r="X94" i="3"/>
  <c r="X93" i="3" s="1"/>
  <c r="Y94" i="3"/>
  <c r="Y93" i="3" s="1"/>
  <c r="AA94" i="3"/>
  <c r="AA93" i="3" s="1"/>
  <c r="N95" i="3"/>
  <c r="P95" i="3" s="1"/>
  <c r="P94" i="3" s="1"/>
  <c r="P93" i="3" s="1"/>
  <c r="R95" i="3"/>
  <c r="W95" i="3"/>
  <c r="AB95" i="3"/>
  <c r="AB94" i="3" s="1"/>
  <c r="AB93" i="3" s="1"/>
  <c r="L97" i="3"/>
  <c r="L96" i="3" s="1"/>
  <c r="M97" i="3"/>
  <c r="M96" i="3" s="1"/>
  <c r="N97" i="3"/>
  <c r="N96" i="3" s="1"/>
  <c r="O97" i="3"/>
  <c r="O96" i="3" s="1"/>
  <c r="P97" i="3"/>
  <c r="P96" i="3" s="1"/>
  <c r="Q97" i="3"/>
  <c r="Q96" i="3" s="1"/>
  <c r="R97" i="3"/>
  <c r="R96" i="3" s="1"/>
  <c r="S97" i="3"/>
  <c r="S96" i="3" s="1"/>
  <c r="T97" i="3"/>
  <c r="T96" i="3" s="1"/>
  <c r="U97" i="3"/>
  <c r="U96" i="3" s="1"/>
  <c r="V97" i="3"/>
  <c r="V96" i="3" s="1"/>
  <c r="W97" i="3"/>
  <c r="W96" i="3" s="1"/>
  <c r="X97" i="3"/>
  <c r="X96" i="3" s="1"/>
  <c r="Y97" i="3"/>
  <c r="Y96" i="3" s="1"/>
  <c r="Z97" i="3"/>
  <c r="Z96" i="3" s="1"/>
  <c r="AA97" i="3"/>
  <c r="AA96" i="3" s="1"/>
  <c r="AB97" i="3"/>
  <c r="AB96" i="3" s="1"/>
  <c r="M100" i="3"/>
  <c r="S100" i="3"/>
  <c r="T100" i="3"/>
  <c r="X100" i="3"/>
  <c r="Y100" i="3"/>
  <c r="AA100" i="3"/>
  <c r="AB100" i="3"/>
  <c r="L101" i="3"/>
  <c r="L100" i="3" s="1"/>
  <c r="N101" i="3"/>
  <c r="N100" i="3" s="1"/>
  <c r="O101" i="3"/>
  <c r="O100" i="3" s="1"/>
  <c r="Q101" i="3"/>
  <c r="Q100" i="3" s="1"/>
  <c r="R101" i="3"/>
  <c r="V101" i="3"/>
  <c r="V100" i="3" s="1"/>
  <c r="W101" i="3"/>
  <c r="W100" i="3" s="1"/>
  <c r="P102" i="3"/>
  <c r="U102" i="3"/>
  <c r="Z102" i="3"/>
  <c r="P103" i="3"/>
  <c r="U103" i="3"/>
  <c r="Z103" i="3"/>
  <c r="L104" i="3"/>
  <c r="M104" i="3"/>
  <c r="N104" i="3"/>
  <c r="O104" i="3"/>
  <c r="Q104" i="3"/>
  <c r="R104" i="3"/>
  <c r="S104" i="3"/>
  <c r="T104" i="3"/>
  <c r="V104" i="3"/>
  <c r="W104" i="3"/>
  <c r="X104" i="3"/>
  <c r="Y104" i="3"/>
  <c r="AA104" i="3"/>
  <c r="AB104" i="3"/>
  <c r="P105" i="3"/>
  <c r="P104" i="3" s="1"/>
  <c r="U105" i="3"/>
  <c r="U104" i="3" s="1"/>
  <c r="Z105" i="3"/>
  <c r="Z104" i="3" s="1"/>
  <c r="L110" i="3"/>
  <c r="L109" i="3" s="1"/>
  <c r="M110" i="3"/>
  <c r="M109" i="3" s="1"/>
  <c r="N110" i="3"/>
  <c r="N109" i="3" s="1"/>
  <c r="O110" i="3"/>
  <c r="O109" i="3" s="1"/>
  <c r="P110" i="3"/>
  <c r="P109" i="3" s="1"/>
  <c r="Q110" i="3"/>
  <c r="Q109" i="3" s="1"/>
  <c r="R110" i="3"/>
  <c r="R109" i="3" s="1"/>
  <c r="S110" i="3"/>
  <c r="S109" i="3" s="1"/>
  <c r="T110" i="3"/>
  <c r="T109" i="3" s="1"/>
  <c r="U110" i="3"/>
  <c r="U109" i="3" s="1"/>
  <c r="V110" i="3"/>
  <c r="V109" i="3" s="1"/>
  <c r="W110" i="3"/>
  <c r="W109" i="3" s="1"/>
  <c r="X110" i="3"/>
  <c r="X109" i="3" s="1"/>
  <c r="Y110" i="3"/>
  <c r="Y109" i="3" s="1"/>
  <c r="Z110" i="3"/>
  <c r="Z109" i="3" s="1"/>
  <c r="AA110" i="3"/>
  <c r="AA109" i="3" s="1"/>
  <c r="AB110" i="3"/>
  <c r="AB109" i="3" s="1"/>
  <c r="L113" i="3"/>
  <c r="L112" i="3" s="1"/>
  <c r="M113" i="3"/>
  <c r="M112" i="3" s="1"/>
  <c r="N113" i="3"/>
  <c r="N112" i="3" s="1"/>
  <c r="O113" i="3"/>
  <c r="O112" i="3" s="1"/>
  <c r="P113" i="3"/>
  <c r="P112" i="3" s="1"/>
  <c r="Q113" i="3"/>
  <c r="Q112" i="3" s="1"/>
  <c r="R113" i="3"/>
  <c r="R112" i="3" s="1"/>
  <c r="S113" i="3"/>
  <c r="S112" i="3" s="1"/>
  <c r="U113" i="3"/>
  <c r="U112" i="3" s="1"/>
  <c r="V113" i="3"/>
  <c r="V112" i="3" s="1"/>
  <c r="W113" i="3"/>
  <c r="W112" i="3" s="1"/>
  <c r="X113" i="3"/>
  <c r="X112" i="3" s="1"/>
  <c r="Y113" i="3"/>
  <c r="Y112" i="3" s="1"/>
  <c r="Z113" i="3"/>
  <c r="Z112" i="3" s="1"/>
  <c r="AA113" i="3"/>
  <c r="AA112" i="3" s="1"/>
  <c r="AB113" i="3"/>
  <c r="AB112" i="3" s="1"/>
  <c r="T113" i="3"/>
  <c r="T112" i="3" s="1"/>
  <c r="L119" i="3"/>
  <c r="L118" i="3" s="1"/>
  <c r="L117" i="3" s="1"/>
  <c r="L116" i="3" s="1"/>
  <c r="L115" i="3" s="1"/>
  <c r="M119" i="3"/>
  <c r="M118" i="3" s="1"/>
  <c r="M117" i="3" s="1"/>
  <c r="M116" i="3" s="1"/>
  <c r="M115" i="3" s="1"/>
  <c r="N119" i="3"/>
  <c r="N118" i="3" s="1"/>
  <c r="N117" i="3" s="1"/>
  <c r="N116" i="3" s="1"/>
  <c r="N115" i="3" s="1"/>
  <c r="O119" i="3"/>
  <c r="O118" i="3" s="1"/>
  <c r="O117" i="3" s="1"/>
  <c r="O116" i="3" s="1"/>
  <c r="O115" i="3" s="1"/>
  <c r="P119" i="3"/>
  <c r="P118" i="3" s="1"/>
  <c r="P117" i="3" s="1"/>
  <c r="P116" i="3" s="1"/>
  <c r="Q119" i="3"/>
  <c r="Q118" i="3" s="1"/>
  <c r="Q117" i="3" s="1"/>
  <c r="Q116" i="3" s="1"/>
  <c r="R119" i="3"/>
  <c r="R118" i="3" s="1"/>
  <c r="R117" i="3" s="1"/>
  <c r="R116" i="3" s="1"/>
  <c r="S119" i="3"/>
  <c r="S118" i="3" s="1"/>
  <c r="S117" i="3" s="1"/>
  <c r="S116" i="3" s="1"/>
  <c r="T119" i="3"/>
  <c r="T118" i="3" s="1"/>
  <c r="T117" i="3" s="1"/>
  <c r="T116" i="3" s="1"/>
  <c r="U119" i="3"/>
  <c r="U118" i="3" s="1"/>
  <c r="U117" i="3" s="1"/>
  <c r="U116" i="3" s="1"/>
  <c r="V119" i="3"/>
  <c r="V118" i="3" s="1"/>
  <c r="V117" i="3" s="1"/>
  <c r="V116" i="3" s="1"/>
  <c r="W119" i="3"/>
  <c r="W118" i="3" s="1"/>
  <c r="W117" i="3" s="1"/>
  <c r="W116" i="3" s="1"/>
  <c r="W115" i="3" s="1"/>
  <c r="X119" i="3"/>
  <c r="X118" i="3" s="1"/>
  <c r="X117" i="3" s="1"/>
  <c r="X116" i="3" s="1"/>
  <c r="Y119" i="3"/>
  <c r="Y118" i="3" s="1"/>
  <c r="Y117" i="3" s="1"/>
  <c r="Y116" i="3" s="1"/>
  <c r="Z119" i="3"/>
  <c r="Z118" i="3" s="1"/>
  <c r="Z117" i="3" s="1"/>
  <c r="Z116" i="3" s="1"/>
  <c r="AA119" i="3"/>
  <c r="AA118" i="3" s="1"/>
  <c r="AA117" i="3" s="1"/>
  <c r="AA116" i="3" s="1"/>
  <c r="AB119" i="3"/>
  <c r="AB118" i="3" s="1"/>
  <c r="AB117" i="3" s="1"/>
  <c r="AB116" i="3" s="1"/>
  <c r="L123" i="3"/>
  <c r="L122" i="3" s="1"/>
  <c r="M123" i="3"/>
  <c r="M122" i="3" s="1"/>
  <c r="N123" i="3"/>
  <c r="N122" i="3" s="1"/>
  <c r="N121" i="3" s="1"/>
  <c r="O123" i="3"/>
  <c r="O122" i="3" s="1"/>
  <c r="O121" i="3" s="1"/>
  <c r="P123" i="3"/>
  <c r="P122" i="3" s="1"/>
  <c r="P121" i="3" s="1"/>
  <c r="Q123" i="3"/>
  <c r="Q122" i="3" s="1"/>
  <c r="Q121" i="3" s="1"/>
  <c r="R123" i="3"/>
  <c r="R122" i="3" s="1"/>
  <c r="R121" i="3" s="1"/>
  <c r="S123" i="3"/>
  <c r="S122" i="3" s="1"/>
  <c r="S121" i="3" s="1"/>
  <c r="U123" i="3"/>
  <c r="U122" i="3" s="1"/>
  <c r="U121" i="3" s="1"/>
  <c r="X123" i="3"/>
  <c r="X122" i="3" s="1"/>
  <c r="X121" i="3" s="1"/>
  <c r="Y123" i="3"/>
  <c r="Y122" i="3" s="1"/>
  <c r="Y121" i="3" s="1"/>
  <c r="Z123" i="3"/>
  <c r="Z122" i="3" s="1"/>
  <c r="Z121" i="3" s="1"/>
  <c r="AA123" i="3"/>
  <c r="AA122" i="3" s="1"/>
  <c r="AA121" i="3" s="1"/>
  <c r="T123" i="3"/>
  <c r="T122" i="3" s="1"/>
  <c r="T121" i="3" s="1"/>
  <c r="V124" i="3"/>
  <c r="V123" i="3" s="1"/>
  <c r="V122" i="3" s="1"/>
  <c r="V121" i="3" s="1"/>
  <c r="AB123" i="3"/>
  <c r="AB122" i="3" s="1"/>
  <c r="AB121" i="3" s="1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L133" i="3"/>
  <c r="L132" i="3" s="1"/>
  <c r="M133" i="3"/>
  <c r="M132" i="3" s="1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L138" i="3"/>
  <c r="L137" i="3" s="1"/>
  <c r="M138" i="3"/>
  <c r="M137" i="3" s="1"/>
  <c r="N138" i="3"/>
  <c r="N137" i="3" s="1"/>
  <c r="O138" i="3"/>
  <c r="O137" i="3" s="1"/>
  <c r="P138" i="3"/>
  <c r="P137" i="3" s="1"/>
  <c r="Q138" i="3"/>
  <c r="Q137" i="3" s="1"/>
  <c r="R138" i="3"/>
  <c r="R137" i="3" s="1"/>
  <c r="S138" i="3"/>
  <c r="S137" i="3" s="1"/>
  <c r="T138" i="3"/>
  <c r="T137" i="3" s="1"/>
  <c r="U138" i="3"/>
  <c r="U137" i="3" s="1"/>
  <c r="V138" i="3"/>
  <c r="V137" i="3" s="1"/>
  <c r="W138" i="3"/>
  <c r="W137" i="3" s="1"/>
  <c r="X138" i="3"/>
  <c r="X137" i="3" s="1"/>
  <c r="Y138" i="3"/>
  <c r="Y137" i="3" s="1"/>
  <c r="Z138" i="3"/>
  <c r="Z137" i="3" s="1"/>
  <c r="AA138" i="3"/>
  <c r="AA137" i="3" s="1"/>
  <c r="AB138" i="3"/>
  <c r="AB137" i="3" s="1"/>
  <c r="L141" i="3"/>
  <c r="L140" i="3" s="1"/>
  <c r="M141" i="3"/>
  <c r="M140" i="3" s="1"/>
  <c r="N141" i="3"/>
  <c r="N140" i="3" s="1"/>
  <c r="O141" i="3"/>
  <c r="O140" i="3" s="1"/>
  <c r="P141" i="3"/>
  <c r="P140" i="3" s="1"/>
  <c r="Q141" i="3"/>
  <c r="Q140" i="3" s="1"/>
  <c r="R141" i="3"/>
  <c r="R140" i="3" s="1"/>
  <c r="S141" i="3"/>
  <c r="S140" i="3" s="1"/>
  <c r="U141" i="3"/>
  <c r="U140" i="3" s="1"/>
  <c r="V141" i="3"/>
  <c r="V140" i="3" s="1"/>
  <c r="W141" i="3"/>
  <c r="W140" i="3" s="1"/>
  <c r="X141" i="3"/>
  <c r="X140" i="3" s="1"/>
  <c r="Y141" i="3"/>
  <c r="Y140" i="3" s="1"/>
  <c r="Z141" i="3"/>
  <c r="Z140" i="3" s="1"/>
  <c r="AA141" i="3"/>
  <c r="AA140" i="3" s="1"/>
  <c r="AB141" i="3"/>
  <c r="AB140" i="3" s="1"/>
  <c r="T141" i="3"/>
  <c r="T140" i="3" s="1"/>
  <c r="L150" i="3"/>
  <c r="L149" i="3" s="1"/>
  <c r="L148" i="3" s="1"/>
  <c r="L147" i="3" s="1"/>
  <c r="L146" i="3" s="1"/>
  <c r="M150" i="3"/>
  <c r="M149" i="3" s="1"/>
  <c r="M148" i="3" s="1"/>
  <c r="M147" i="3" s="1"/>
  <c r="M146" i="3" s="1"/>
  <c r="N150" i="3"/>
  <c r="N149" i="3" s="1"/>
  <c r="N148" i="3" s="1"/>
  <c r="N147" i="3" s="1"/>
  <c r="N146" i="3" s="1"/>
  <c r="O150" i="3"/>
  <c r="O149" i="3" s="1"/>
  <c r="O148" i="3" s="1"/>
  <c r="O147" i="3" s="1"/>
  <c r="O146" i="3" s="1"/>
  <c r="Q150" i="3"/>
  <c r="Q149" i="3" s="1"/>
  <c r="R150" i="3"/>
  <c r="R149" i="3" s="1"/>
  <c r="S150" i="3"/>
  <c r="S149" i="3" s="1"/>
  <c r="T150" i="3"/>
  <c r="T149" i="3" s="1"/>
  <c r="V150" i="3"/>
  <c r="V149" i="3" s="1"/>
  <c r="W150" i="3"/>
  <c r="W149" i="3" s="1"/>
  <c r="W148" i="3" s="1"/>
  <c r="W147" i="3" s="1"/>
  <c r="W146" i="3" s="1"/>
  <c r="X150" i="3"/>
  <c r="X149" i="3" s="1"/>
  <c r="Y150" i="3"/>
  <c r="Y149" i="3" s="1"/>
  <c r="AA150" i="3"/>
  <c r="AA149" i="3" s="1"/>
  <c r="AB150" i="3"/>
  <c r="AB149" i="3" s="1"/>
  <c r="P151" i="3"/>
  <c r="P150" i="3" s="1"/>
  <c r="P149" i="3" s="1"/>
  <c r="U151" i="3"/>
  <c r="U150" i="3" s="1"/>
  <c r="U149" i="3" s="1"/>
  <c r="Z151" i="3"/>
  <c r="Z150" i="3" s="1"/>
  <c r="Z149" i="3" s="1"/>
  <c r="N153" i="3"/>
  <c r="N152" i="3" s="1"/>
  <c r="P153" i="3"/>
  <c r="Q153" i="3"/>
  <c r="Q152" i="3" s="1"/>
  <c r="R153" i="3"/>
  <c r="R152" i="3" s="1"/>
  <c r="S153" i="3"/>
  <c r="S152" i="3" s="1"/>
  <c r="U153" i="3"/>
  <c r="U152" i="3" s="1"/>
  <c r="V153" i="3"/>
  <c r="V152" i="3" s="1"/>
  <c r="X153" i="3"/>
  <c r="X152" i="3" s="1"/>
  <c r="Y153" i="3"/>
  <c r="Y152" i="3" s="1"/>
  <c r="Z153" i="3"/>
  <c r="Z152" i="3" s="1"/>
  <c r="AA153" i="3"/>
  <c r="AA152" i="3" s="1"/>
  <c r="AB153" i="3"/>
  <c r="AB152" i="3" s="1"/>
  <c r="O154" i="3"/>
  <c r="O153" i="3" s="1"/>
  <c r="O152" i="3" s="1"/>
  <c r="L172" i="3"/>
  <c r="L171" i="3" s="1"/>
  <c r="M172" i="3"/>
  <c r="M171" i="3" s="1"/>
  <c r="L174" i="3"/>
  <c r="M174" i="3"/>
  <c r="O174" i="3"/>
  <c r="R174" i="3"/>
  <c r="S174" i="3"/>
  <c r="W174" i="3"/>
  <c r="X174" i="3"/>
  <c r="AA174" i="3"/>
  <c r="N175" i="3"/>
  <c r="N174" i="3" s="1"/>
  <c r="P175" i="3"/>
  <c r="Q175" i="3"/>
  <c r="Q174" i="3" s="1"/>
  <c r="U175" i="3"/>
  <c r="U174" i="3" s="1"/>
  <c r="V175" i="3"/>
  <c r="V174" i="3" s="1"/>
  <c r="Y175" i="3"/>
  <c r="Y174" i="3" s="1"/>
  <c r="Z175" i="3"/>
  <c r="Z174" i="3" s="1"/>
  <c r="AB175" i="3"/>
  <c r="AB174" i="3" s="1"/>
  <c r="L176" i="3"/>
  <c r="M176" i="3"/>
  <c r="N176" i="3"/>
  <c r="O176" i="3"/>
  <c r="P176" i="3"/>
  <c r="R176" i="3"/>
  <c r="S176" i="3"/>
  <c r="T176" i="3"/>
  <c r="W176" i="3"/>
  <c r="X176" i="3"/>
  <c r="AA176" i="3"/>
  <c r="Q177" i="3"/>
  <c r="Q176" i="3" s="1"/>
  <c r="U177" i="3"/>
  <c r="U176" i="3" s="1"/>
  <c r="V177" i="3"/>
  <c r="V176" i="3" s="1"/>
  <c r="Y177" i="3"/>
  <c r="Y176" i="3" s="1"/>
  <c r="Z177" i="3"/>
  <c r="Z176" i="3" s="1"/>
  <c r="AB177" i="3"/>
  <c r="AB176" i="3" s="1"/>
  <c r="L183" i="3"/>
  <c r="L182" i="3" s="1"/>
  <c r="L181" i="3" s="1"/>
  <c r="L180" i="3" s="1"/>
  <c r="D24" i="4" s="1"/>
  <c r="M183" i="3"/>
  <c r="M182" i="3" s="1"/>
  <c r="M181" i="3" s="1"/>
  <c r="M180" i="3" s="1"/>
  <c r="E24" i="4" s="1"/>
  <c r="N183" i="3"/>
  <c r="N182" i="3" s="1"/>
  <c r="N181" i="3" s="1"/>
  <c r="N180" i="3" s="1"/>
  <c r="F24" i="4" s="1"/>
  <c r="O183" i="3"/>
  <c r="O182" i="3" s="1"/>
  <c r="O181" i="3" s="1"/>
  <c r="O180" i="3" s="1"/>
  <c r="G24" i="4" s="1"/>
  <c r="P183" i="3"/>
  <c r="P182" i="3" s="1"/>
  <c r="P181" i="3" s="1"/>
  <c r="P180" i="3" s="1"/>
  <c r="H24" i="4" s="1"/>
  <c r="Q183" i="3"/>
  <c r="Q182" i="3" s="1"/>
  <c r="Q181" i="3" s="1"/>
  <c r="Q180" i="3" s="1"/>
  <c r="I24" i="4" s="1"/>
  <c r="R183" i="3"/>
  <c r="R182" i="3" s="1"/>
  <c r="R181" i="3" s="1"/>
  <c r="R180" i="3" s="1"/>
  <c r="J24" i="4" s="1"/>
  <c r="S183" i="3"/>
  <c r="S182" i="3" s="1"/>
  <c r="S181" i="3" s="1"/>
  <c r="S180" i="3" s="1"/>
  <c r="K24" i="4" s="1"/>
  <c r="T183" i="3"/>
  <c r="T182" i="3" s="1"/>
  <c r="T181" i="3" s="1"/>
  <c r="T180" i="3" s="1"/>
  <c r="L24" i="4" s="1"/>
  <c r="U183" i="3"/>
  <c r="U182" i="3" s="1"/>
  <c r="U181" i="3" s="1"/>
  <c r="U180" i="3" s="1"/>
  <c r="M24" i="4" s="1"/>
  <c r="V183" i="3"/>
  <c r="V182" i="3" s="1"/>
  <c r="V181" i="3" s="1"/>
  <c r="V180" i="3" s="1"/>
  <c r="N24" i="4" s="1"/>
  <c r="W183" i="3"/>
  <c r="W182" i="3" s="1"/>
  <c r="W181" i="3" s="1"/>
  <c r="W180" i="3" s="1"/>
  <c r="O24" i="4" s="1"/>
  <c r="X183" i="3"/>
  <c r="X182" i="3" s="1"/>
  <c r="X181" i="3" s="1"/>
  <c r="X180" i="3" s="1"/>
  <c r="P24" i="4" s="1"/>
  <c r="Y183" i="3"/>
  <c r="Y182" i="3" s="1"/>
  <c r="Y181" i="3" s="1"/>
  <c r="Y180" i="3" s="1"/>
  <c r="Q24" i="4" s="1"/>
  <c r="Z183" i="3"/>
  <c r="Z182" i="3" s="1"/>
  <c r="Z181" i="3" s="1"/>
  <c r="Z180" i="3" s="1"/>
  <c r="R24" i="4" s="1"/>
  <c r="AA183" i="3"/>
  <c r="AA182" i="3" s="1"/>
  <c r="AA181" i="3" s="1"/>
  <c r="AA180" i="3" s="1"/>
  <c r="S24" i="4" s="1"/>
  <c r="AB183" i="3"/>
  <c r="AB182" i="3" s="1"/>
  <c r="AB181" i="3" s="1"/>
  <c r="AB180" i="3" s="1"/>
  <c r="T24" i="4" s="1"/>
  <c r="L189" i="3"/>
  <c r="L188" i="3" s="1"/>
  <c r="L187" i="3" s="1"/>
  <c r="L186" i="3" s="1"/>
  <c r="L185" i="3" s="1"/>
  <c r="M189" i="3"/>
  <c r="M188" i="3" s="1"/>
  <c r="M187" i="3" s="1"/>
  <c r="M186" i="3" s="1"/>
  <c r="M185" i="3" s="1"/>
  <c r="N189" i="3"/>
  <c r="N188" i="3" s="1"/>
  <c r="N187" i="3" s="1"/>
  <c r="N186" i="3" s="1"/>
  <c r="N185" i="3" s="1"/>
  <c r="O189" i="3"/>
  <c r="O188" i="3" s="1"/>
  <c r="O187" i="3" s="1"/>
  <c r="O186" i="3" s="1"/>
  <c r="O185" i="3" s="1"/>
  <c r="Q189" i="3"/>
  <c r="Q188" i="3" s="1"/>
  <c r="Q187" i="3" s="1"/>
  <c r="Q186" i="3" s="1"/>
  <c r="Q185" i="3" s="1"/>
  <c r="R189" i="3"/>
  <c r="R188" i="3" s="1"/>
  <c r="R187" i="3" s="1"/>
  <c r="R186" i="3" s="1"/>
  <c r="R185" i="3" s="1"/>
  <c r="S189" i="3"/>
  <c r="S188" i="3" s="1"/>
  <c r="S187" i="3" s="1"/>
  <c r="S186" i="3" s="1"/>
  <c r="S185" i="3" s="1"/>
  <c r="T189" i="3"/>
  <c r="T188" i="3" s="1"/>
  <c r="T187" i="3" s="1"/>
  <c r="T186" i="3" s="1"/>
  <c r="T185" i="3" s="1"/>
  <c r="U189" i="3"/>
  <c r="U188" i="3" s="1"/>
  <c r="U187" i="3" s="1"/>
  <c r="U186" i="3" s="1"/>
  <c r="U185" i="3" s="1"/>
  <c r="V189" i="3"/>
  <c r="V188" i="3" s="1"/>
  <c r="V187" i="3" s="1"/>
  <c r="V186" i="3" s="1"/>
  <c r="V185" i="3" s="1"/>
  <c r="W189" i="3"/>
  <c r="W188" i="3" s="1"/>
  <c r="W187" i="3" s="1"/>
  <c r="W186" i="3" s="1"/>
  <c r="W185" i="3" s="1"/>
  <c r="X189" i="3"/>
  <c r="X188" i="3" s="1"/>
  <c r="X187" i="3" s="1"/>
  <c r="X186" i="3" s="1"/>
  <c r="X185" i="3" s="1"/>
  <c r="Y189" i="3"/>
  <c r="Y188" i="3" s="1"/>
  <c r="Y187" i="3" s="1"/>
  <c r="Y186" i="3" s="1"/>
  <c r="Y185" i="3" s="1"/>
  <c r="Z189" i="3"/>
  <c r="Z188" i="3" s="1"/>
  <c r="Z187" i="3" s="1"/>
  <c r="Z186" i="3" s="1"/>
  <c r="Z185" i="3" s="1"/>
  <c r="AA189" i="3"/>
  <c r="AA188" i="3" s="1"/>
  <c r="AA187" i="3" s="1"/>
  <c r="AA186" i="3" s="1"/>
  <c r="AA185" i="3" s="1"/>
  <c r="AB189" i="3"/>
  <c r="AB188" i="3" s="1"/>
  <c r="AB187" i="3" s="1"/>
  <c r="AB186" i="3" s="1"/>
  <c r="AB185" i="3" s="1"/>
  <c r="P190" i="3"/>
  <c r="P189" i="3" s="1"/>
  <c r="P188" i="3" s="1"/>
  <c r="P187" i="3" s="1"/>
  <c r="P186" i="3" s="1"/>
  <c r="P185" i="3" s="1"/>
  <c r="N193" i="3"/>
  <c r="N192" i="3" s="1"/>
  <c r="N191" i="3" s="1"/>
  <c r="O193" i="3"/>
  <c r="O192" i="3" s="1"/>
  <c r="O191" i="3" s="1"/>
  <c r="P193" i="3"/>
  <c r="P192" i="3" s="1"/>
  <c r="P191" i="3" s="1"/>
  <c r="Q193" i="3"/>
  <c r="Q192" i="3" s="1"/>
  <c r="Q191" i="3" s="1"/>
  <c r="R193" i="3"/>
  <c r="R192" i="3" s="1"/>
  <c r="R191" i="3" s="1"/>
  <c r="S193" i="3"/>
  <c r="S192" i="3" s="1"/>
  <c r="S191" i="3" s="1"/>
  <c r="T193" i="3"/>
  <c r="T192" i="3" s="1"/>
  <c r="T191" i="3" s="1"/>
  <c r="U193" i="3"/>
  <c r="U192" i="3" s="1"/>
  <c r="U191" i="3" s="1"/>
  <c r="V193" i="3"/>
  <c r="V192" i="3" s="1"/>
  <c r="V191" i="3" s="1"/>
  <c r="W193" i="3"/>
  <c r="W192" i="3" s="1"/>
  <c r="W191" i="3" s="1"/>
  <c r="X193" i="3"/>
  <c r="X192" i="3" s="1"/>
  <c r="X191" i="3" s="1"/>
  <c r="Y193" i="3"/>
  <c r="Y192" i="3" s="1"/>
  <c r="Y191" i="3" s="1"/>
  <c r="Z193" i="3"/>
  <c r="Z192" i="3" s="1"/>
  <c r="Z191" i="3" s="1"/>
  <c r="AA193" i="3"/>
  <c r="AA192" i="3" s="1"/>
  <c r="AA191" i="3" s="1"/>
  <c r="AB193" i="3"/>
  <c r="AB192" i="3" s="1"/>
  <c r="AB191" i="3" s="1"/>
  <c r="N195" i="3"/>
  <c r="N194" i="3" s="1"/>
  <c r="O195" i="3"/>
  <c r="O194" i="3" s="1"/>
  <c r="P195" i="3"/>
  <c r="P194" i="3" s="1"/>
  <c r="Q195" i="3"/>
  <c r="Q194" i="3" s="1"/>
  <c r="R195" i="3"/>
  <c r="R194" i="3" s="1"/>
  <c r="S195" i="3"/>
  <c r="S194" i="3" s="1"/>
  <c r="T195" i="3"/>
  <c r="T194" i="3" s="1"/>
  <c r="U195" i="3"/>
  <c r="U194" i="3" s="1"/>
  <c r="V195" i="3"/>
  <c r="V194" i="3" s="1"/>
  <c r="W195" i="3"/>
  <c r="W194" i="3" s="1"/>
  <c r="X195" i="3"/>
  <c r="X194" i="3" s="1"/>
  <c r="Y195" i="3"/>
  <c r="Y194" i="3" s="1"/>
  <c r="Z195" i="3"/>
  <c r="Z194" i="3" s="1"/>
  <c r="AA195" i="3"/>
  <c r="AA194" i="3" s="1"/>
  <c r="AB195" i="3"/>
  <c r="AB194" i="3" s="1"/>
  <c r="L204" i="3"/>
  <c r="L203" i="3" s="1"/>
  <c r="L202" i="3" s="1"/>
  <c r="L201" i="3" s="1"/>
  <c r="M204" i="3"/>
  <c r="M203" i="3" s="1"/>
  <c r="M202" i="3" s="1"/>
  <c r="M201" i="3" s="1"/>
  <c r="O204" i="3"/>
  <c r="O203" i="3" s="1"/>
  <c r="O202" i="3" s="1"/>
  <c r="O201" i="3" s="1"/>
  <c r="R204" i="3"/>
  <c r="R203" i="3" s="1"/>
  <c r="R202" i="3" s="1"/>
  <c r="R201" i="3" s="1"/>
  <c r="S204" i="3"/>
  <c r="S203" i="3" s="1"/>
  <c r="S202" i="3" s="1"/>
  <c r="S201" i="3" s="1"/>
  <c r="W204" i="3"/>
  <c r="W203" i="3" s="1"/>
  <c r="W202" i="3" s="1"/>
  <c r="W201" i="3" s="1"/>
  <c r="X204" i="3"/>
  <c r="X203" i="3" s="1"/>
  <c r="X202" i="3" s="1"/>
  <c r="X201" i="3" s="1"/>
  <c r="AA204" i="3"/>
  <c r="AA203" i="3" s="1"/>
  <c r="AA202" i="3" s="1"/>
  <c r="AA201" i="3" s="1"/>
  <c r="N205" i="3"/>
  <c r="N204" i="3" s="1"/>
  <c r="N203" i="3" s="1"/>
  <c r="N202" i="3" s="1"/>
  <c r="N201" i="3" s="1"/>
  <c r="P205" i="3"/>
  <c r="P204" i="3" s="1"/>
  <c r="P203" i="3" s="1"/>
  <c r="P202" i="3" s="1"/>
  <c r="P201" i="3" s="1"/>
  <c r="Q205" i="3"/>
  <c r="Q204" i="3" s="1"/>
  <c r="Q203" i="3" s="1"/>
  <c r="Q202" i="3" s="1"/>
  <c r="Q201" i="3" s="1"/>
  <c r="T205" i="3"/>
  <c r="T204" i="3" s="1"/>
  <c r="T203" i="3" s="1"/>
  <c r="T202" i="3" s="1"/>
  <c r="T201" i="3" s="1"/>
  <c r="U205" i="3"/>
  <c r="U204" i="3" s="1"/>
  <c r="U203" i="3" s="1"/>
  <c r="U202" i="3" s="1"/>
  <c r="U201" i="3" s="1"/>
  <c r="V205" i="3"/>
  <c r="V204" i="3" s="1"/>
  <c r="V203" i="3" s="1"/>
  <c r="V202" i="3" s="1"/>
  <c r="V201" i="3" s="1"/>
  <c r="Y205" i="3"/>
  <c r="Y204" i="3" s="1"/>
  <c r="Y203" i="3" s="1"/>
  <c r="Y202" i="3" s="1"/>
  <c r="Y201" i="3" s="1"/>
  <c r="Z205" i="3"/>
  <c r="Z204" i="3" s="1"/>
  <c r="Z203" i="3" s="1"/>
  <c r="Z202" i="3" s="1"/>
  <c r="Z201" i="3" s="1"/>
  <c r="AB205" i="3"/>
  <c r="AB204" i="3" s="1"/>
  <c r="AB203" i="3" s="1"/>
  <c r="AB202" i="3" s="1"/>
  <c r="AB201" i="3" s="1"/>
  <c r="L209" i="3"/>
  <c r="L208" i="3" s="1"/>
  <c r="L207" i="3" s="1"/>
  <c r="M209" i="3"/>
  <c r="M208" i="3" s="1"/>
  <c r="M207" i="3" s="1"/>
  <c r="N209" i="3"/>
  <c r="N208" i="3" s="1"/>
  <c r="N207" i="3" s="1"/>
  <c r="O209" i="3"/>
  <c r="O208" i="3" s="1"/>
  <c r="O207" i="3" s="1"/>
  <c r="P209" i="3"/>
  <c r="P208" i="3" s="1"/>
  <c r="P207" i="3" s="1"/>
  <c r="Q209" i="3"/>
  <c r="Q208" i="3" s="1"/>
  <c r="Q207" i="3" s="1"/>
  <c r="R209" i="3"/>
  <c r="R208" i="3" s="1"/>
  <c r="R207" i="3" s="1"/>
  <c r="S209" i="3"/>
  <c r="S208" i="3" s="1"/>
  <c r="S207" i="3" s="1"/>
  <c r="T209" i="3"/>
  <c r="T208" i="3" s="1"/>
  <c r="T207" i="3" s="1"/>
  <c r="U209" i="3"/>
  <c r="U208" i="3" s="1"/>
  <c r="U207" i="3" s="1"/>
  <c r="V209" i="3"/>
  <c r="V208" i="3" s="1"/>
  <c r="V207" i="3" s="1"/>
  <c r="W209" i="3"/>
  <c r="W208" i="3" s="1"/>
  <c r="W207" i="3" s="1"/>
  <c r="X209" i="3"/>
  <c r="X208" i="3" s="1"/>
  <c r="X207" i="3" s="1"/>
  <c r="Y209" i="3"/>
  <c r="Y208" i="3" s="1"/>
  <c r="Y207" i="3" s="1"/>
  <c r="Z209" i="3"/>
  <c r="Z208" i="3" s="1"/>
  <c r="Z207" i="3" s="1"/>
  <c r="AA209" i="3"/>
  <c r="AA208" i="3" s="1"/>
  <c r="AA207" i="3" s="1"/>
  <c r="AB209" i="3"/>
  <c r="AB208" i="3" s="1"/>
  <c r="AB207" i="3" s="1"/>
  <c r="L213" i="3"/>
  <c r="M213" i="3"/>
  <c r="S213" i="3"/>
  <c r="X213" i="3"/>
  <c r="Y213" i="3"/>
  <c r="AA213" i="3"/>
  <c r="N214" i="3"/>
  <c r="N213" i="3" s="1"/>
  <c r="O214" i="3"/>
  <c r="Q214" i="3"/>
  <c r="Q213" i="3" s="1"/>
  <c r="R214" i="3"/>
  <c r="R213" i="3" s="1"/>
  <c r="V214" i="3"/>
  <c r="V213" i="3" s="1"/>
  <c r="W214" i="3"/>
  <c r="AB214" i="3"/>
  <c r="AB213" i="3" s="1"/>
  <c r="M215" i="3"/>
  <c r="N215" i="3"/>
  <c r="Q215" i="3"/>
  <c r="S215" i="3"/>
  <c r="S212" i="3" s="1"/>
  <c r="V215" i="3"/>
  <c r="X215" i="3"/>
  <c r="Y215" i="3"/>
  <c r="AA215" i="3"/>
  <c r="L216" i="3"/>
  <c r="L215" i="3" s="1"/>
  <c r="O216" i="3"/>
  <c r="O215" i="3" s="1"/>
  <c r="R216" i="3"/>
  <c r="R215" i="3" s="1"/>
  <c r="W216" i="3"/>
  <c r="W215" i="3" s="1"/>
  <c r="AB216" i="3"/>
  <c r="AB215" i="3" s="1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M228" i="3"/>
  <c r="O228" i="3"/>
  <c r="R228" i="3"/>
  <c r="S228" i="3"/>
  <c r="W228" i="3"/>
  <c r="X228" i="3"/>
  <c r="AA228" i="3"/>
  <c r="L229" i="3"/>
  <c r="L228" i="3" s="1"/>
  <c r="N229" i="3"/>
  <c r="N228" i="3" s="1"/>
  <c r="P229" i="3"/>
  <c r="P228" i="3" s="1"/>
  <c r="Q229" i="3"/>
  <c r="Q228" i="3" s="1"/>
  <c r="T229" i="3"/>
  <c r="T228" i="3" s="1"/>
  <c r="U229" i="3"/>
  <c r="U228" i="3" s="1"/>
  <c r="V229" i="3"/>
  <c r="V228" i="3" s="1"/>
  <c r="Y229" i="3"/>
  <c r="Y228" i="3" s="1"/>
  <c r="Z229" i="3"/>
  <c r="Z228" i="3" s="1"/>
  <c r="AB229" i="3"/>
  <c r="AB228" i="3" s="1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M233" i="3"/>
  <c r="O233" i="3"/>
  <c r="R233" i="3"/>
  <c r="S233" i="3"/>
  <c r="W233" i="3"/>
  <c r="X233" i="3"/>
  <c r="AA233" i="3"/>
  <c r="L234" i="3"/>
  <c r="L233" i="3" s="1"/>
  <c r="N234" i="3"/>
  <c r="N233" i="3" s="1"/>
  <c r="P234" i="3"/>
  <c r="P233" i="3" s="1"/>
  <c r="Q234" i="3"/>
  <c r="Q233" i="3" s="1"/>
  <c r="T234" i="3"/>
  <c r="T233" i="3" s="1"/>
  <c r="U234" i="3"/>
  <c r="U233" i="3" s="1"/>
  <c r="V234" i="3"/>
  <c r="V233" i="3" s="1"/>
  <c r="Y234" i="3"/>
  <c r="Y233" i="3" s="1"/>
  <c r="Z234" i="3"/>
  <c r="Z233" i="3" s="1"/>
  <c r="AB234" i="3"/>
  <c r="AB233" i="3" s="1"/>
  <c r="L235" i="3"/>
  <c r="M235" i="3"/>
  <c r="M232" i="3" s="1"/>
  <c r="N235" i="3"/>
  <c r="O235" i="3"/>
  <c r="P235" i="3"/>
  <c r="Q235" i="3"/>
  <c r="R235" i="3"/>
  <c r="S235" i="3"/>
  <c r="T235" i="3"/>
  <c r="U235" i="3"/>
  <c r="V235" i="3"/>
  <c r="W235" i="3"/>
  <c r="W232" i="3" s="1"/>
  <c r="X235" i="3"/>
  <c r="Y235" i="3"/>
  <c r="Z235" i="3"/>
  <c r="AA235" i="3"/>
  <c r="AA232" i="3" s="1"/>
  <c r="AB235" i="3"/>
  <c r="L238" i="3"/>
  <c r="L237" i="3" s="1"/>
  <c r="M238" i="3"/>
  <c r="M237" i="3" s="1"/>
  <c r="O238" i="3"/>
  <c r="R238" i="3"/>
  <c r="S238" i="3"/>
  <c r="W238" i="3"/>
  <c r="X238" i="3"/>
  <c r="AA238" i="3"/>
  <c r="N239" i="3"/>
  <c r="N238" i="3" s="1"/>
  <c r="P239" i="3"/>
  <c r="P238" i="3" s="1"/>
  <c r="Q239" i="3"/>
  <c r="Q238" i="3" s="1"/>
  <c r="T239" i="3"/>
  <c r="T238" i="3" s="1"/>
  <c r="U239" i="3"/>
  <c r="U238" i="3" s="1"/>
  <c r="V239" i="3"/>
  <c r="V238" i="3" s="1"/>
  <c r="Y239" i="3"/>
  <c r="Y238" i="3" s="1"/>
  <c r="Z239" i="3"/>
  <c r="Z238" i="3" s="1"/>
  <c r="AB239" i="3"/>
  <c r="AB238" i="3" s="1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L245" i="3"/>
  <c r="L244" i="3" s="1"/>
  <c r="L243" i="3" s="1"/>
  <c r="L242" i="3" s="1"/>
  <c r="D22" i="4" s="1"/>
  <c r="M245" i="3"/>
  <c r="M244" i="3" s="1"/>
  <c r="M243" i="3" s="1"/>
  <c r="M242" i="3" s="1"/>
  <c r="E22" i="4" s="1"/>
  <c r="N245" i="3"/>
  <c r="N244" i="3" s="1"/>
  <c r="N243" i="3" s="1"/>
  <c r="N242" i="3" s="1"/>
  <c r="F22" i="4" s="1"/>
  <c r="O245" i="3"/>
  <c r="O244" i="3" s="1"/>
  <c r="O243" i="3" s="1"/>
  <c r="O242" i="3" s="1"/>
  <c r="G22" i="4" s="1"/>
  <c r="Q245" i="3"/>
  <c r="Q244" i="3" s="1"/>
  <c r="Q243" i="3" s="1"/>
  <c r="Q242" i="3" s="1"/>
  <c r="I22" i="4" s="1"/>
  <c r="R245" i="3"/>
  <c r="R244" i="3" s="1"/>
  <c r="R243" i="3" s="1"/>
  <c r="R242" i="3" s="1"/>
  <c r="J22" i="4" s="1"/>
  <c r="S245" i="3"/>
  <c r="S244" i="3" s="1"/>
  <c r="S243" i="3" s="1"/>
  <c r="S242" i="3" s="1"/>
  <c r="K22" i="4" s="1"/>
  <c r="T245" i="3"/>
  <c r="T244" i="3" s="1"/>
  <c r="T243" i="3" s="1"/>
  <c r="T242" i="3" s="1"/>
  <c r="L22" i="4" s="1"/>
  <c r="V245" i="3"/>
  <c r="V244" i="3" s="1"/>
  <c r="V243" i="3" s="1"/>
  <c r="V242" i="3" s="1"/>
  <c r="N22" i="4" s="1"/>
  <c r="W245" i="3"/>
  <c r="W244" i="3" s="1"/>
  <c r="W243" i="3" s="1"/>
  <c r="W242" i="3" s="1"/>
  <c r="O22" i="4" s="1"/>
  <c r="X245" i="3"/>
  <c r="X244" i="3" s="1"/>
  <c r="X243" i="3" s="1"/>
  <c r="X242" i="3" s="1"/>
  <c r="P22" i="4" s="1"/>
  <c r="Y245" i="3"/>
  <c r="Y244" i="3" s="1"/>
  <c r="Y243" i="3" s="1"/>
  <c r="Y242" i="3" s="1"/>
  <c r="Q22" i="4" s="1"/>
  <c r="AA245" i="3"/>
  <c r="AA244" i="3" s="1"/>
  <c r="AA243" i="3" s="1"/>
  <c r="AA242" i="3" s="1"/>
  <c r="S22" i="4" s="1"/>
  <c r="AB245" i="3"/>
  <c r="AB244" i="3" s="1"/>
  <c r="AB243" i="3" s="1"/>
  <c r="AB242" i="3" s="1"/>
  <c r="T22" i="4" s="1"/>
  <c r="P246" i="3"/>
  <c r="P245" i="3" s="1"/>
  <c r="P244" i="3" s="1"/>
  <c r="P243" i="3" s="1"/>
  <c r="P242" i="3" s="1"/>
  <c r="H22" i="4" s="1"/>
  <c r="U246" i="3"/>
  <c r="U245" i="3" s="1"/>
  <c r="U244" i="3" s="1"/>
  <c r="U243" i="3" s="1"/>
  <c r="U242" i="3" s="1"/>
  <c r="M22" i="4" s="1"/>
  <c r="Z246" i="3"/>
  <c r="Z245" i="3" s="1"/>
  <c r="Z244" i="3" s="1"/>
  <c r="Z243" i="3" s="1"/>
  <c r="Z242" i="3" s="1"/>
  <c r="R22" i="4" s="1"/>
  <c r="L270" i="3"/>
  <c r="M270" i="3"/>
  <c r="N270" i="3"/>
  <c r="O270" i="3"/>
  <c r="P270" i="3"/>
  <c r="Q270" i="3"/>
  <c r="R270" i="3"/>
  <c r="S270" i="3"/>
  <c r="T270" i="3"/>
  <c r="U270" i="3"/>
  <c r="V270" i="3"/>
  <c r="W270" i="3"/>
  <c r="X270" i="3"/>
  <c r="Y270" i="3"/>
  <c r="Z270" i="3"/>
  <c r="AA270" i="3"/>
  <c r="AB270" i="3"/>
  <c r="L272" i="3"/>
  <c r="M272" i="3"/>
  <c r="N272" i="3"/>
  <c r="O272" i="3"/>
  <c r="P272" i="3"/>
  <c r="Q272" i="3"/>
  <c r="R272" i="3"/>
  <c r="S272" i="3"/>
  <c r="T272" i="3"/>
  <c r="U272" i="3"/>
  <c r="V272" i="3"/>
  <c r="W272" i="3"/>
  <c r="X272" i="3"/>
  <c r="Y272" i="3"/>
  <c r="Z272" i="3"/>
  <c r="AA272" i="3"/>
  <c r="AB272" i="3"/>
  <c r="O276" i="3"/>
  <c r="O275" i="3" s="1"/>
  <c r="Q276" i="3"/>
  <c r="Q275" i="3" s="1"/>
  <c r="R276" i="3"/>
  <c r="R275" i="3" s="1"/>
  <c r="S276" i="3"/>
  <c r="S275" i="3" s="1"/>
  <c r="U276" i="3"/>
  <c r="U275" i="3" s="1"/>
  <c r="V276" i="3"/>
  <c r="V275" i="3" s="1"/>
  <c r="W276" i="3"/>
  <c r="W275" i="3" s="1"/>
  <c r="X276" i="3"/>
  <c r="X275" i="3" s="1"/>
  <c r="Y276" i="3"/>
  <c r="Y275" i="3" s="1"/>
  <c r="Z276" i="3"/>
  <c r="Z275" i="3" s="1"/>
  <c r="AA276" i="3"/>
  <c r="AA275" i="3" s="1"/>
  <c r="AB276" i="3"/>
  <c r="AB275" i="3" s="1"/>
  <c r="N277" i="3"/>
  <c r="N276" i="3" s="1"/>
  <c r="N275" i="3" s="1"/>
  <c r="P277" i="3"/>
  <c r="P276" i="3" s="1"/>
  <c r="P275" i="3" s="1"/>
  <c r="T277" i="3"/>
  <c r="T276" i="3" s="1"/>
  <c r="T275" i="3" s="1"/>
  <c r="N279" i="3"/>
  <c r="N278" i="3" s="1"/>
  <c r="O279" i="3"/>
  <c r="O278" i="3" s="1"/>
  <c r="P279" i="3"/>
  <c r="P278" i="3" s="1"/>
  <c r="Q279" i="3"/>
  <c r="Q278" i="3" s="1"/>
  <c r="R279" i="3"/>
  <c r="R278" i="3" s="1"/>
  <c r="S279" i="3"/>
  <c r="S278" i="3" s="1"/>
  <c r="T279" i="3"/>
  <c r="T278" i="3" s="1"/>
  <c r="U279" i="3"/>
  <c r="U278" i="3" s="1"/>
  <c r="V279" i="3"/>
  <c r="V278" i="3" s="1"/>
  <c r="W279" i="3"/>
  <c r="W278" i="3" s="1"/>
  <c r="X279" i="3"/>
  <c r="X278" i="3" s="1"/>
  <c r="Y279" i="3"/>
  <c r="Y278" i="3" s="1"/>
  <c r="Z279" i="3"/>
  <c r="Z278" i="3" s="1"/>
  <c r="AA279" i="3"/>
  <c r="AA278" i="3" s="1"/>
  <c r="AB279" i="3"/>
  <c r="AB278" i="3" s="1"/>
  <c r="L283" i="3"/>
  <c r="M283" i="3"/>
  <c r="O283" i="3"/>
  <c r="R283" i="3"/>
  <c r="S283" i="3"/>
  <c r="W283" i="3"/>
  <c r="X283" i="3"/>
  <c r="AA283" i="3"/>
  <c r="N284" i="3"/>
  <c r="N283" i="3" s="1"/>
  <c r="P284" i="3"/>
  <c r="P283" i="3" s="1"/>
  <c r="Q284" i="3"/>
  <c r="Q283" i="3" s="1"/>
  <c r="T284" i="3"/>
  <c r="T283" i="3" s="1"/>
  <c r="U284" i="3"/>
  <c r="U283" i="3" s="1"/>
  <c r="V284" i="3"/>
  <c r="V283" i="3" s="1"/>
  <c r="Y284" i="3"/>
  <c r="Y283" i="3" s="1"/>
  <c r="Z284" i="3"/>
  <c r="Z283" i="3" s="1"/>
  <c r="AB284" i="3"/>
  <c r="AB283" i="3" s="1"/>
  <c r="M285" i="3"/>
  <c r="O285" i="3"/>
  <c r="R285" i="3"/>
  <c r="S285" i="3"/>
  <c r="W285" i="3"/>
  <c r="X285" i="3"/>
  <c r="AA285" i="3"/>
  <c r="L286" i="3"/>
  <c r="L285" i="3" s="1"/>
  <c r="N286" i="3"/>
  <c r="N285" i="3" s="1"/>
  <c r="P286" i="3"/>
  <c r="Q286" i="3"/>
  <c r="Q285" i="3" s="1"/>
  <c r="U286" i="3"/>
  <c r="U285" i="3" s="1"/>
  <c r="V286" i="3"/>
  <c r="V285" i="3" s="1"/>
  <c r="Y286" i="3"/>
  <c r="Y285" i="3" s="1"/>
  <c r="Z286" i="3"/>
  <c r="Z285" i="3" s="1"/>
  <c r="AB286" i="3"/>
  <c r="AB285" i="3" s="1"/>
  <c r="L287" i="3"/>
  <c r="M287" i="3"/>
  <c r="N287" i="3"/>
  <c r="O287" i="3"/>
  <c r="P287" i="3"/>
  <c r="Q287" i="3"/>
  <c r="R287" i="3"/>
  <c r="S287" i="3"/>
  <c r="T287" i="3"/>
  <c r="U287" i="3"/>
  <c r="V287" i="3"/>
  <c r="W287" i="3"/>
  <c r="X287" i="3"/>
  <c r="Y287" i="3"/>
  <c r="Z287" i="3"/>
  <c r="AA287" i="3"/>
  <c r="AB287" i="3"/>
  <c r="L290" i="3"/>
  <c r="L289" i="3" s="1"/>
  <c r="M290" i="3"/>
  <c r="M289" i="3" s="1"/>
  <c r="N290" i="3"/>
  <c r="N289" i="3" s="1"/>
  <c r="O290" i="3"/>
  <c r="O289" i="3" s="1"/>
  <c r="P290" i="3"/>
  <c r="P289" i="3" s="1"/>
  <c r="Q290" i="3"/>
  <c r="Q289" i="3" s="1"/>
  <c r="R290" i="3"/>
  <c r="R289" i="3" s="1"/>
  <c r="S290" i="3"/>
  <c r="S289" i="3" s="1"/>
  <c r="T290" i="3"/>
  <c r="T289" i="3" s="1"/>
  <c r="U290" i="3"/>
  <c r="U289" i="3" s="1"/>
  <c r="V290" i="3"/>
  <c r="V289" i="3" s="1"/>
  <c r="W290" i="3"/>
  <c r="W289" i="3" s="1"/>
  <c r="X290" i="3"/>
  <c r="X289" i="3" s="1"/>
  <c r="Y290" i="3"/>
  <c r="Y289" i="3" s="1"/>
  <c r="Z290" i="3"/>
  <c r="Z289" i="3" s="1"/>
  <c r="AA290" i="3"/>
  <c r="AA289" i="3" s="1"/>
  <c r="AB290" i="3"/>
  <c r="AB289" i="3" s="1"/>
  <c r="L293" i="3"/>
  <c r="M293" i="3"/>
  <c r="N293" i="3"/>
  <c r="O293" i="3"/>
  <c r="P293" i="3"/>
  <c r="Q293" i="3"/>
  <c r="R293" i="3"/>
  <c r="S293" i="3"/>
  <c r="T293" i="3"/>
  <c r="U293" i="3"/>
  <c r="V293" i="3"/>
  <c r="W293" i="3"/>
  <c r="X293" i="3"/>
  <c r="Y293" i="3"/>
  <c r="Z293" i="3"/>
  <c r="AA293" i="3"/>
  <c r="AB293" i="3"/>
  <c r="L295" i="3"/>
  <c r="M295" i="3"/>
  <c r="N295" i="3"/>
  <c r="O295" i="3"/>
  <c r="P295" i="3"/>
  <c r="R295" i="3"/>
  <c r="S295" i="3"/>
  <c r="T295" i="3"/>
  <c r="W295" i="3"/>
  <c r="X295" i="3"/>
  <c r="AA295" i="3"/>
  <c r="Q296" i="3"/>
  <c r="Q295" i="3" s="1"/>
  <c r="U296" i="3"/>
  <c r="U295" i="3" s="1"/>
  <c r="V296" i="3"/>
  <c r="V295" i="3" s="1"/>
  <c r="Y296" i="3"/>
  <c r="Y295" i="3" s="1"/>
  <c r="Z296" i="3"/>
  <c r="Z295" i="3" s="1"/>
  <c r="AB296" i="3"/>
  <c r="AB295" i="3" s="1"/>
  <c r="L297" i="3"/>
  <c r="M297" i="3"/>
  <c r="N297" i="3"/>
  <c r="O297" i="3"/>
  <c r="P297" i="3"/>
  <c r="Q297" i="3"/>
  <c r="R297" i="3"/>
  <c r="S297" i="3"/>
  <c r="T297" i="3"/>
  <c r="U297" i="3"/>
  <c r="V297" i="3"/>
  <c r="W297" i="3"/>
  <c r="X297" i="3"/>
  <c r="Y297" i="3"/>
  <c r="Z297" i="3"/>
  <c r="AA297" i="3"/>
  <c r="AB297" i="3"/>
  <c r="N299" i="3"/>
  <c r="O299" i="3"/>
  <c r="P299" i="3"/>
  <c r="Q299" i="3"/>
  <c r="R299" i="3"/>
  <c r="S299" i="3"/>
  <c r="T299" i="3"/>
  <c r="U299" i="3"/>
  <c r="V299" i="3"/>
  <c r="W299" i="3"/>
  <c r="X299" i="3"/>
  <c r="Y299" i="3"/>
  <c r="Z299" i="3"/>
  <c r="AA299" i="3"/>
  <c r="AB299" i="3"/>
  <c r="L305" i="3"/>
  <c r="L304" i="3" s="1"/>
  <c r="M305" i="3"/>
  <c r="M304" i="3" s="1"/>
  <c r="N305" i="3"/>
  <c r="N304" i="3" s="1"/>
  <c r="O305" i="3"/>
  <c r="O304" i="3" s="1"/>
  <c r="P305" i="3"/>
  <c r="P304" i="3" s="1"/>
  <c r="Q305" i="3"/>
  <c r="Q304" i="3" s="1"/>
  <c r="R305" i="3"/>
  <c r="R304" i="3" s="1"/>
  <c r="S305" i="3"/>
  <c r="S304" i="3" s="1"/>
  <c r="T305" i="3"/>
  <c r="T304" i="3" s="1"/>
  <c r="U305" i="3"/>
  <c r="U304" i="3" s="1"/>
  <c r="V305" i="3"/>
  <c r="V304" i="3" s="1"/>
  <c r="W305" i="3"/>
  <c r="W304" i="3" s="1"/>
  <c r="X305" i="3"/>
  <c r="X304" i="3" s="1"/>
  <c r="Y305" i="3"/>
  <c r="Y304" i="3" s="1"/>
  <c r="Z305" i="3"/>
  <c r="Z304" i="3" s="1"/>
  <c r="AA305" i="3"/>
  <c r="AA304" i="3" s="1"/>
  <c r="AB305" i="3"/>
  <c r="AB304" i="3" s="1"/>
  <c r="L323" i="3"/>
  <c r="L322" i="3" s="1"/>
  <c r="L321" i="3" s="1"/>
  <c r="L320" i="3" s="1"/>
  <c r="L319" i="3" s="1"/>
  <c r="M323" i="3"/>
  <c r="M322" i="3" s="1"/>
  <c r="M321" i="3" s="1"/>
  <c r="M320" i="3" s="1"/>
  <c r="M319" i="3" s="1"/>
  <c r="N323" i="3"/>
  <c r="Q323" i="3"/>
  <c r="S323" i="3"/>
  <c r="V323" i="3"/>
  <c r="X323" i="3"/>
  <c r="Y323" i="3"/>
  <c r="AA323" i="3"/>
  <c r="O324" i="3"/>
  <c r="O323" i="3" s="1"/>
  <c r="R324" i="3"/>
  <c r="R323" i="3" s="1"/>
  <c r="W324" i="3"/>
  <c r="W323" i="3" s="1"/>
  <c r="AB324" i="3"/>
  <c r="AB323" i="3" s="1"/>
  <c r="N325" i="3"/>
  <c r="Q325" i="3"/>
  <c r="S325" i="3"/>
  <c r="V325" i="3"/>
  <c r="X325" i="3"/>
  <c r="Y325" i="3"/>
  <c r="AA325" i="3"/>
  <c r="AB325" i="3"/>
  <c r="O326" i="3"/>
  <c r="O865" i="3" s="1"/>
  <c r="R326" i="3"/>
  <c r="U326" i="3" s="1"/>
  <c r="U325" i="3" s="1"/>
  <c r="W326" i="3"/>
  <c r="L331" i="3"/>
  <c r="L330" i="3" s="1"/>
  <c r="L329" i="3" s="1"/>
  <c r="L328" i="3" s="1"/>
  <c r="D30" i="4" s="1"/>
  <c r="D28" i="4" s="1"/>
  <c r="M331" i="3"/>
  <c r="M330" i="3" s="1"/>
  <c r="M329" i="3" s="1"/>
  <c r="M328" i="3" s="1"/>
  <c r="E30" i="4" s="1"/>
  <c r="E28" i="4" s="1"/>
  <c r="N331" i="3"/>
  <c r="N330" i="3" s="1"/>
  <c r="N329" i="3" s="1"/>
  <c r="N328" i="3" s="1"/>
  <c r="N327" i="3" s="1"/>
  <c r="O331" i="3"/>
  <c r="O330" i="3" s="1"/>
  <c r="O329" i="3" s="1"/>
  <c r="O328" i="3" s="1"/>
  <c r="O327" i="3" s="1"/>
  <c r="Q331" i="3"/>
  <c r="Q330" i="3" s="1"/>
  <c r="S331" i="3"/>
  <c r="S330" i="3" s="1"/>
  <c r="V331" i="3"/>
  <c r="V330" i="3" s="1"/>
  <c r="X331" i="3"/>
  <c r="X330" i="3" s="1"/>
  <c r="Y331" i="3"/>
  <c r="Y330" i="3" s="1"/>
  <c r="AA331" i="3"/>
  <c r="AA330" i="3" s="1"/>
  <c r="AB331" i="3"/>
  <c r="AB330" i="3" s="1"/>
  <c r="P332" i="3"/>
  <c r="R332" i="3"/>
  <c r="W332" i="3"/>
  <c r="Z332" i="3" s="1"/>
  <c r="Z331" i="3" s="1"/>
  <c r="Z330" i="3" s="1"/>
  <c r="L334" i="3"/>
  <c r="L333" i="3" s="1"/>
  <c r="M334" i="3"/>
  <c r="M333" i="3" s="1"/>
  <c r="N334" i="3"/>
  <c r="N333" i="3" s="1"/>
  <c r="O334" i="3"/>
  <c r="O333" i="3" s="1"/>
  <c r="P334" i="3"/>
  <c r="P333" i="3" s="1"/>
  <c r="Q334" i="3"/>
  <c r="Q333" i="3" s="1"/>
  <c r="S334" i="3"/>
  <c r="S333" i="3" s="1"/>
  <c r="U334" i="3"/>
  <c r="U333" i="3" s="1"/>
  <c r="V334" i="3"/>
  <c r="V333" i="3" s="1"/>
  <c r="X334" i="3"/>
  <c r="X333" i="3" s="1"/>
  <c r="Y334" i="3"/>
  <c r="Y333" i="3" s="1"/>
  <c r="Z334" i="3"/>
  <c r="Z333" i="3" s="1"/>
  <c r="AA334" i="3"/>
  <c r="AA333" i="3" s="1"/>
  <c r="AB334" i="3"/>
  <c r="AB333" i="3" s="1"/>
  <c r="R335" i="3"/>
  <c r="R334" i="3" s="1"/>
  <c r="R333" i="3" s="1"/>
  <c r="T334" i="3"/>
  <c r="T333" i="3" s="1"/>
  <c r="W335" i="3"/>
  <c r="W334" i="3" s="1"/>
  <c r="W333" i="3" s="1"/>
  <c r="L340" i="3"/>
  <c r="M340" i="3"/>
  <c r="N340" i="3"/>
  <c r="O340" i="3"/>
  <c r="P340" i="3"/>
  <c r="Q340" i="3"/>
  <c r="R340" i="3"/>
  <c r="S340" i="3"/>
  <c r="T340" i="3"/>
  <c r="U340" i="3"/>
  <c r="V340" i="3"/>
  <c r="W340" i="3"/>
  <c r="X340" i="3"/>
  <c r="Y340" i="3"/>
  <c r="Z340" i="3"/>
  <c r="AA340" i="3"/>
  <c r="AB340" i="3"/>
  <c r="L342" i="3"/>
  <c r="M342" i="3"/>
  <c r="N342" i="3"/>
  <c r="O342" i="3"/>
  <c r="P342" i="3"/>
  <c r="Q342" i="3"/>
  <c r="R342" i="3"/>
  <c r="S342" i="3"/>
  <c r="T342" i="3"/>
  <c r="U342" i="3"/>
  <c r="V342" i="3"/>
  <c r="W342" i="3"/>
  <c r="X342" i="3"/>
  <c r="Y342" i="3"/>
  <c r="Z342" i="3"/>
  <c r="AA342" i="3"/>
  <c r="AB342" i="3"/>
  <c r="L344" i="3"/>
  <c r="D35" i="4" s="1"/>
  <c r="M344" i="3"/>
  <c r="E35" i="4" s="1"/>
  <c r="N347" i="3"/>
  <c r="N346" i="3" s="1"/>
  <c r="O347" i="3"/>
  <c r="O346" i="3" s="1"/>
  <c r="P347" i="3"/>
  <c r="P346" i="3" s="1"/>
  <c r="Q347" i="3"/>
  <c r="Q346" i="3" s="1"/>
  <c r="R347" i="3"/>
  <c r="R346" i="3" s="1"/>
  <c r="S347" i="3"/>
  <c r="S346" i="3" s="1"/>
  <c r="T347" i="3"/>
  <c r="T346" i="3" s="1"/>
  <c r="U347" i="3"/>
  <c r="U346" i="3" s="1"/>
  <c r="V347" i="3"/>
  <c r="V346" i="3" s="1"/>
  <c r="W347" i="3"/>
  <c r="W346" i="3" s="1"/>
  <c r="X347" i="3"/>
  <c r="X346" i="3" s="1"/>
  <c r="Y347" i="3"/>
  <c r="Y346" i="3" s="1"/>
  <c r="Z347" i="3"/>
  <c r="Z346" i="3" s="1"/>
  <c r="AA347" i="3"/>
  <c r="AA346" i="3" s="1"/>
  <c r="AB347" i="3"/>
  <c r="AB346" i="3" s="1"/>
  <c r="L350" i="3"/>
  <c r="L349" i="3" s="1"/>
  <c r="M350" i="3"/>
  <c r="M349" i="3" s="1"/>
  <c r="N350" i="3"/>
  <c r="N349" i="3" s="1"/>
  <c r="N345" i="3" s="1"/>
  <c r="N344" i="3" s="1"/>
  <c r="F35" i="4" s="1"/>
  <c r="O350" i="3"/>
  <c r="O349" i="3" s="1"/>
  <c r="O345" i="3" s="1"/>
  <c r="O344" i="3" s="1"/>
  <c r="G35" i="4" s="1"/>
  <c r="P350" i="3"/>
  <c r="P349" i="3" s="1"/>
  <c r="Q350" i="3"/>
  <c r="Q349" i="3" s="1"/>
  <c r="R350" i="3"/>
  <c r="R349" i="3" s="1"/>
  <c r="S350" i="3"/>
  <c r="S349" i="3" s="1"/>
  <c r="T350" i="3"/>
  <c r="T349" i="3" s="1"/>
  <c r="U350" i="3"/>
  <c r="U349" i="3" s="1"/>
  <c r="V350" i="3"/>
  <c r="V349" i="3" s="1"/>
  <c r="W350" i="3"/>
  <c r="W349" i="3" s="1"/>
  <c r="X350" i="3"/>
  <c r="X349" i="3" s="1"/>
  <c r="Y350" i="3"/>
  <c r="Y349" i="3" s="1"/>
  <c r="Z350" i="3"/>
  <c r="Z349" i="3" s="1"/>
  <c r="AA350" i="3"/>
  <c r="AA349" i="3" s="1"/>
  <c r="AB350" i="3"/>
  <c r="AB349" i="3" s="1"/>
  <c r="L353" i="3"/>
  <c r="L352" i="3" s="1"/>
  <c r="M353" i="3"/>
  <c r="M352" i="3" s="1"/>
  <c r="N353" i="3"/>
  <c r="N352" i="3" s="1"/>
  <c r="O353" i="3"/>
  <c r="O352" i="3" s="1"/>
  <c r="P353" i="3"/>
  <c r="P352" i="3" s="1"/>
  <c r="Q353" i="3"/>
  <c r="Q352" i="3" s="1"/>
  <c r="R353" i="3"/>
  <c r="R352" i="3" s="1"/>
  <c r="S353" i="3"/>
  <c r="S352" i="3" s="1"/>
  <c r="T353" i="3"/>
  <c r="T352" i="3" s="1"/>
  <c r="U353" i="3"/>
  <c r="U352" i="3" s="1"/>
  <c r="V353" i="3"/>
  <c r="V352" i="3" s="1"/>
  <c r="W353" i="3"/>
  <c r="W352" i="3" s="1"/>
  <c r="X353" i="3"/>
  <c r="X352" i="3" s="1"/>
  <c r="Y353" i="3"/>
  <c r="Y352" i="3" s="1"/>
  <c r="Z353" i="3"/>
  <c r="Z352" i="3" s="1"/>
  <c r="AA353" i="3"/>
  <c r="AA352" i="3" s="1"/>
  <c r="AB353" i="3"/>
  <c r="AB352" i="3" s="1"/>
  <c r="N356" i="3"/>
  <c r="N355" i="3" s="1"/>
  <c r="O356" i="3"/>
  <c r="O355" i="3" s="1"/>
  <c r="P356" i="3"/>
  <c r="P355" i="3" s="1"/>
  <c r="Q356" i="3"/>
  <c r="Q355" i="3" s="1"/>
  <c r="R356" i="3"/>
  <c r="R355" i="3" s="1"/>
  <c r="S356" i="3"/>
  <c r="S355" i="3" s="1"/>
  <c r="U356" i="3"/>
  <c r="U355" i="3" s="1"/>
  <c r="V356" i="3"/>
  <c r="V355" i="3" s="1"/>
  <c r="X356" i="3"/>
  <c r="X355" i="3" s="1"/>
  <c r="Y356" i="3"/>
  <c r="Y355" i="3" s="1"/>
  <c r="Z356" i="3"/>
  <c r="Z355" i="3" s="1"/>
  <c r="AA356" i="3"/>
  <c r="AA355" i="3" s="1"/>
  <c r="AB356" i="3"/>
  <c r="AB355" i="3" s="1"/>
  <c r="T356" i="3"/>
  <c r="T355" i="3" s="1"/>
  <c r="L359" i="3"/>
  <c r="L358" i="3" s="1"/>
  <c r="M359" i="3"/>
  <c r="M358" i="3" s="1"/>
  <c r="N359" i="3"/>
  <c r="N358" i="3" s="1"/>
  <c r="O359" i="3"/>
  <c r="O358" i="3" s="1"/>
  <c r="P359" i="3"/>
  <c r="P358" i="3" s="1"/>
  <c r="Q359" i="3"/>
  <c r="Q358" i="3" s="1"/>
  <c r="R359" i="3"/>
  <c r="R358" i="3" s="1"/>
  <c r="S359" i="3"/>
  <c r="S358" i="3" s="1"/>
  <c r="U359" i="3"/>
  <c r="U358" i="3" s="1"/>
  <c r="V359" i="3"/>
  <c r="V358" i="3" s="1"/>
  <c r="W359" i="3"/>
  <c r="W358" i="3" s="1"/>
  <c r="X359" i="3"/>
  <c r="X358" i="3" s="1"/>
  <c r="Y359" i="3"/>
  <c r="Y358" i="3" s="1"/>
  <c r="Z359" i="3"/>
  <c r="Z358" i="3" s="1"/>
  <c r="AA359" i="3"/>
  <c r="AA358" i="3" s="1"/>
  <c r="AB359" i="3"/>
  <c r="AB358" i="3" s="1"/>
  <c r="T359" i="3"/>
  <c r="T358" i="3" s="1"/>
  <c r="N367" i="3"/>
  <c r="N366" i="3" s="1"/>
  <c r="N365" i="3" s="1"/>
  <c r="O367" i="3"/>
  <c r="O366" i="3" s="1"/>
  <c r="O365" i="3" s="1"/>
  <c r="P367" i="3"/>
  <c r="P366" i="3" s="1"/>
  <c r="P365" i="3" s="1"/>
  <c r="Q367" i="3"/>
  <c r="Q366" i="3" s="1"/>
  <c r="Q365" i="3" s="1"/>
  <c r="R367" i="3"/>
  <c r="R366" i="3" s="1"/>
  <c r="R365" i="3" s="1"/>
  <c r="S367" i="3"/>
  <c r="S366" i="3" s="1"/>
  <c r="S365" i="3" s="1"/>
  <c r="T367" i="3"/>
  <c r="T366" i="3" s="1"/>
  <c r="T365" i="3" s="1"/>
  <c r="U367" i="3"/>
  <c r="U366" i="3" s="1"/>
  <c r="U365" i="3" s="1"/>
  <c r="V367" i="3"/>
  <c r="V366" i="3" s="1"/>
  <c r="V365" i="3" s="1"/>
  <c r="W367" i="3"/>
  <c r="W366" i="3" s="1"/>
  <c r="W365" i="3" s="1"/>
  <c r="X367" i="3"/>
  <c r="X366" i="3" s="1"/>
  <c r="X365" i="3" s="1"/>
  <c r="Y367" i="3"/>
  <c r="Y366" i="3" s="1"/>
  <c r="Y365" i="3" s="1"/>
  <c r="Z367" i="3"/>
  <c r="Z366" i="3" s="1"/>
  <c r="Z365" i="3" s="1"/>
  <c r="AA367" i="3"/>
  <c r="AA366" i="3" s="1"/>
  <c r="AA365" i="3" s="1"/>
  <c r="AB367" i="3"/>
  <c r="AB366" i="3" s="1"/>
  <c r="AB365" i="3" s="1"/>
  <c r="N371" i="3"/>
  <c r="N370" i="3" s="1"/>
  <c r="O371" i="3"/>
  <c r="O370" i="3" s="1"/>
  <c r="P371" i="3"/>
  <c r="P370" i="3" s="1"/>
  <c r="Q371" i="3"/>
  <c r="Q370" i="3" s="1"/>
  <c r="R371" i="3"/>
  <c r="R370" i="3" s="1"/>
  <c r="S371" i="3"/>
  <c r="S370" i="3" s="1"/>
  <c r="T371" i="3"/>
  <c r="T370" i="3" s="1"/>
  <c r="V371" i="3"/>
  <c r="V370" i="3" s="1"/>
  <c r="W371" i="3"/>
  <c r="W370" i="3" s="1"/>
  <c r="X371" i="3"/>
  <c r="X370" i="3" s="1"/>
  <c r="Y371" i="3"/>
  <c r="Y370" i="3" s="1"/>
  <c r="Z371" i="3"/>
  <c r="Z370" i="3" s="1"/>
  <c r="AA371" i="3"/>
  <c r="AA370" i="3" s="1"/>
  <c r="AB371" i="3"/>
  <c r="AB370" i="3" s="1"/>
  <c r="U372" i="3"/>
  <c r="U371" i="3" s="1"/>
  <c r="U370" i="3" s="1"/>
  <c r="L374" i="3"/>
  <c r="L373" i="3" s="1"/>
  <c r="L369" i="3" s="1"/>
  <c r="L364" i="3" s="1"/>
  <c r="D36" i="4" s="1"/>
  <c r="M374" i="3"/>
  <c r="M373" i="3" s="1"/>
  <c r="M369" i="3" s="1"/>
  <c r="M364" i="3" s="1"/>
  <c r="E36" i="4" s="1"/>
  <c r="S374" i="3"/>
  <c r="S373" i="3" s="1"/>
  <c r="X374" i="3"/>
  <c r="X373" i="3" s="1"/>
  <c r="Y374" i="3"/>
  <c r="Y373" i="3" s="1"/>
  <c r="AA374" i="3"/>
  <c r="AA373" i="3" s="1"/>
  <c r="AB374" i="3"/>
  <c r="AB373" i="3" s="1"/>
  <c r="N375" i="3"/>
  <c r="N374" i="3" s="1"/>
  <c r="N373" i="3" s="1"/>
  <c r="O375" i="3"/>
  <c r="Q375" i="3"/>
  <c r="Q374" i="3" s="1"/>
  <c r="Q373" i="3" s="1"/>
  <c r="R375" i="3"/>
  <c r="V375" i="3"/>
  <c r="V374" i="3" s="1"/>
  <c r="V373" i="3" s="1"/>
  <c r="W375" i="3"/>
  <c r="W374" i="3" s="1"/>
  <c r="W373" i="3" s="1"/>
  <c r="N377" i="3"/>
  <c r="N376" i="3" s="1"/>
  <c r="O377" i="3"/>
  <c r="O376" i="3" s="1"/>
  <c r="P377" i="3"/>
  <c r="P376" i="3" s="1"/>
  <c r="Q377" i="3"/>
  <c r="Q376" i="3" s="1"/>
  <c r="R377" i="3"/>
  <c r="R376" i="3" s="1"/>
  <c r="S377" i="3"/>
  <c r="S376" i="3" s="1"/>
  <c r="T377" i="3"/>
  <c r="T376" i="3" s="1"/>
  <c r="U377" i="3"/>
  <c r="U376" i="3" s="1"/>
  <c r="V377" i="3"/>
  <c r="V376" i="3" s="1"/>
  <c r="W377" i="3"/>
  <c r="W376" i="3" s="1"/>
  <c r="X377" i="3"/>
  <c r="X376" i="3" s="1"/>
  <c r="Y377" i="3"/>
  <c r="Y376" i="3" s="1"/>
  <c r="Z377" i="3"/>
  <c r="Z376" i="3" s="1"/>
  <c r="AA377" i="3"/>
  <c r="AA376" i="3" s="1"/>
  <c r="AB377" i="3"/>
  <c r="AB376" i="3" s="1"/>
  <c r="L380" i="3"/>
  <c r="L379" i="3" s="1"/>
  <c r="M380" i="3"/>
  <c r="M379" i="3" s="1"/>
  <c r="N380" i="3"/>
  <c r="N379" i="3" s="1"/>
  <c r="O380" i="3"/>
  <c r="O379" i="3" s="1"/>
  <c r="P380" i="3"/>
  <c r="P379" i="3" s="1"/>
  <c r="Q380" i="3"/>
  <c r="Q379" i="3" s="1"/>
  <c r="R380" i="3"/>
  <c r="R379" i="3" s="1"/>
  <c r="S380" i="3"/>
  <c r="S379" i="3" s="1"/>
  <c r="U380" i="3"/>
  <c r="U379" i="3" s="1"/>
  <c r="V380" i="3"/>
  <c r="V379" i="3" s="1"/>
  <c r="W380" i="3"/>
  <c r="W379" i="3" s="1"/>
  <c r="X380" i="3"/>
  <c r="X379" i="3" s="1"/>
  <c r="Y380" i="3"/>
  <c r="Y379" i="3" s="1"/>
  <c r="Z380" i="3"/>
  <c r="Z379" i="3" s="1"/>
  <c r="AA380" i="3"/>
  <c r="AA379" i="3" s="1"/>
  <c r="AB380" i="3"/>
  <c r="AB379" i="3" s="1"/>
  <c r="T380" i="3"/>
  <c r="T379" i="3" s="1"/>
  <c r="N385" i="3"/>
  <c r="N384" i="3" s="1"/>
  <c r="N383" i="3" s="1"/>
  <c r="O385" i="3"/>
  <c r="O384" i="3" s="1"/>
  <c r="O383" i="3" s="1"/>
  <c r="P385" i="3"/>
  <c r="P384" i="3" s="1"/>
  <c r="P383" i="3" s="1"/>
  <c r="Q385" i="3"/>
  <c r="Q384" i="3" s="1"/>
  <c r="Q383" i="3" s="1"/>
  <c r="R385" i="3"/>
  <c r="R384" i="3" s="1"/>
  <c r="R383" i="3" s="1"/>
  <c r="S385" i="3"/>
  <c r="S384" i="3" s="1"/>
  <c r="S383" i="3" s="1"/>
  <c r="T385" i="3"/>
  <c r="T384" i="3" s="1"/>
  <c r="T383" i="3" s="1"/>
  <c r="U385" i="3"/>
  <c r="U384" i="3" s="1"/>
  <c r="U383" i="3" s="1"/>
  <c r="V385" i="3"/>
  <c r="V384" i="3" s="1"/>
  <c r="V383" i="3" s="1"/>
  <c r="W385" i="3"/>
  <c r="W384" i="3" s="1"/>
  <c r="W383" i="3" s="1"/>
  <c r="X385" i="3"/>
  <c r="X384" i="3" s="1"/>
  <c r="X383" i="3" s="1"/>
  <c r="Y385" i="3"/>
  <c r="Y384" i="3" s="1"/>
  <c r="Y383" i="3" s="1"/>
  <c r="Z385" i="3"/>
  <c r="Z384" i="3" s="1"/>
  <c r="Z383" i="3" s="1"/>
  <c r="AA385" i="3"/>
  <c r="AA384" i="3" s="1"/>
  <c r="AA383" i="3" s="1"/>
  <c r="AB385" i="3"/>
  <c r="AB384" i="3" s="1"/>
  <c r="AB383" i="3" s="1"/>
  <c r="N392" i="3"/>
  <c r="O392" i="3"/>
  <c r="P392" i="3"/>
  <c r="Q392" i="3"/>
  <c r="R392" i="3"/>
  <c r="S392" i="3"/>
  <c r="T392" i="3"/>
  <c r="U392" i="3"/>
  <c r="V392" i="3"/>
  <c r="W392" i="3"/>
  <c r="X392" i="3"/>
  <c r="Y392" i="3"/>
  <c r="Z392" i="3"/>
  <c r="AA392" i="3"/>
  <c r="AB392" i="3"/>
  <c r="L394" i="3"/>
  <c r="L391" i="3" s="1"/>
  <c r="L390" i="3" s="1"/>
  <c r="L382" i="3" s="1"/>
  <c r="M394" i="3"/>
  <c r="M391" i="3" s="1"/>
  <c r="M390" i="3" s="1"/>
  <c r="M382" i="3" s="1"/>
  <c r="N394" i="3"/>
  <c r="O394" i="3"/>
  <c r="P394" i="3"/>
  <c r="Q394" i="3"/>
  <c r="R394" i="3"/>
  <c r="S394" i="3"/>
  <c r="T394" i="3"/>
  <c r="U394" i="3"/>
  <c r="V394" i="3"/>
  <c r="W394" i="3"/>
  <c r="X394" i="3"/>
  <c r="Y394" i="3"/>
  <c r="Z394" i="3"/>
  <c r="AA394" i="3"/>
  <c r="AB394" i="3"/>
  <c r="N397" i="3"/>
  <c r="O397" i="3"/>
  <c r="P397" i="3"/>
  <c r="Q397" i="3"/>
  <c r="R397" i="3"/>
  <c r="S397" i="3"/>
  <c r="T397" i="3"/>
  <c r="U397" i="3"/>
  <c r="V397" i="3"/>
  <c r="W397" i="3"/>
  <c r="X397" i="3"/>
  <c r="Y397" i="3"/>
  <c r="Z397" i="3"/>
  <c r="AA397" i="3"/>
  <c r="AB397" i="3"/>
  <c r="L399" i="3"/>
  <c r="M399" i="3"/>
  <c r="N399" i="3"/>
  <c r="O399" i="3"/>
  <c r="P399" i="3"/>
  <c r="Q399" i="3"/>
  <c r="R399" i="3"/>
  <c r="S399" i="3"/>
  <c r="T399" i="3"/>
  <c r="U399" i="3"/>
  <c r="V399" i="3"/>
  <c r="W399" i="3"/>
  <c r="X399" i="3"/>
  <c r="Y399" i="3"/>
  <c r="Z399" i="3"/>
  <c r="AA399" i="3"/>
  <c r="AB399" i="3"/>
  <c r="N405" i="3"/>
  <c r="N404" i="3" s="1"/>
  <c r="N403" i="3" s="1"/>
  <c r="O405" i="3"/>
  <c r="O404" i="3" s="1"/>
  <c r="O403" i="3" s="1"/>
  <c r="P405" i="3"/>
  <c r="P404" i="3" s="1"/>
  <c r="Q405" i="3"/>
  <c r="Q404" i="3" s="1"/>
  <c r="R405" i="3"/>
  <c r="R404" i="3" s="1"/>
  <c r="S405" i="3"/>
  <c r="S404" i="3" s="1"/>
  <c r="T405" i="3"/>
  <c r="T404" i="3" s="1"/>
  <c r="U405" i="3"/>
  <c r="U404" i="3" s="1"/>
  <c r="V405" i="3"/>
  <c r="V404" i="3" s="1"/>
  <c r="W405" i="3"/>
  <c r="W404" i="3" s="1"/>
  <c r="X405" i="3"/>
  <c r="X404" i="3" s="1"/>
  <c r="Y405" i="3"/>
  <c r="Y404" i="3" s="1"/>
  <c r="Z405" i="3"/>
  <c r="Z404" i="3" s="1"/>
  <c r="AA405" i="3"/>
  <c r="AA404" i="3" s="1"/>
  <c r="AB405" i="3"/>
  <c r="AB404" i="3" s="1"/>
  <c r="N408" i="3"/>
  <c r="N407" i="3" s="1"/>
  <c r="O408" i="3"/>
  <c r="O407" i="3" s="1"/>
  <c r="P408" i="3"/>
  <c r="P407" i="3" s="1"/>
  <c r="Q408" i="3"/>
  <c r="Q407" i="3" s="1"/>
  <c r="R408" i="3"/>
  <c r="R407" i="3" s="1"/>
  <c r="S408" i="3"/>
  <c r="S407" i="3" s="1"/>
  <c r="U408" i="3"/>
  <c r="U407" i="3" s="1"/>
  <c r="V408" i="3"/>
  <c r="V407" i="3" s="1"/>
  <c r="W408" i="3"/>
  <c r="W407" i="3" s="1"/>
  <c r="X408" i="3"/>
  <c r="X407" i="3" s="1"/>
  <c r="Y408" i="3"/>
  <c r="Y407" i="3" s="1"/>
  <c r="Z408" i="3"/>
  <c r="Z407" i="3" s="1"/>
  <c r="AA408" i="3"/>
  <c r="AA407" i="3" s="1"/>
  <c r="AB408" i="3"/>
  <c r="AB407" i="3" s="1"/>
  <c r="T408" i="3"/>
  <c r="T407" i="3" s="1"/>
  <c r="L413" i="3"/>
  <c r="L412" i="3" s="1"/>
  <c r="L411" i="3" s="1"/>
  <c r="L410" i="3" s="1"/>
  <c r="L401" i="3" s="1"/>
  <c r="L396" i="3" s="1"/>
  <c r="M413" i="3"/>
  <c r="M412" i="3" s="1"/>
  <c r="M411" i="3" s="1"/>
  <c r="M410" i="3" s="1"/>
  <c r="M401" i="3" s="1"/>
  <c r="M396" i="3" s="1"/>
  <c r="N413" i="3"/>
  <c r="N412" i="3" s="1"/>
  <c r="N411" i="3" s="1"/>
  <c r="N410" i="3" s="1"/>
  <c r="O413" i="3"/>
  <c r="O412" i="3" s="1"/>
  <c r="O411" i="3" s="1"/>
  <c r="O410" i="3" s="1"/>
  <c r="P413" i="3"/>
  <c r="P412" i="3" s="1"/>
  <c r="P411" i="3" s="1"/>
  <c r="P410" i="3" s="1"/>
  <c r="Q413" i="3"/>
  <c r="Q412" i="3" s="1"/>
  <c r="Q411" i="3" s="1"/>
  <c r="Q410" i="3" s="1"/>
  <c r="R413" i="3"/>
  <c r="R412" i="3" s="1"/>
  <c r="R411" i="3" s="1"/>
  <c r="R410" i="3" s="1"/>
  <c r="S413" i="3"/>
  <c r="S412" i="3" s="1"/>
  <c r="S411" i="3" s="1"/>
  <c r="S410" i="3" s="1"/>
  <c r="T413" i="3"/>
  <c r="T412" i="3" s="1"/>
  <c r="T411" i="3" s="1"/>
  <c r="T410" i="3" s="1"/>
  <c r="U413" i="3"/>
  <c r="U412" i="3" s="1"/>
  <c r="U411" i="3" s="1"/>
  <c r="U410" i="3" s="1"/>
  <c r="V413" i="3"/>
  <c r="V412" i="3" s="1"/>
  <c r="V411" i="3" s="1"/>
  <c r="V410" i="3" s="1"/>
  <c r="W413" i="3"/>
  <c r="W412" i="3" s="1"/>
  <c r="W411" i="3" s="1"/>
  <c r="W410" i="3" s="1"/>
  <c r="X413" i="3"/>
  <c r="X412" i="3" s="1"/>
  <c r="X411" i="3" s="1"/>
  <c r="X410" i="3" s="1"/>
  <c r="Y413" i="3"/>
  <c r="Y412" i="3" s="1"/>
  <c r="Y411" i="3" s="1"/>
  <c r="Y410" i="3" s="1"/>
  <c r="Z413" i="3"/>
  <c r="Z412" i="3" s="1"/>
  <c r="Z411" i="3" s="1"/>
  <c r="Z410" i="3" s="1"/>
  <c r="AA413" i="3"/>
  <c r="AA412" i="3" s="1"/>
  <c r="AA411" i="3" s="1"/>
  <c r="AA410" i="3" s="1"/>
  <c r="AB413" i="3"/>
  <c r="AB412" i="3" s="1"/>
  <c r="AB411" i="3" s="1"/>
  <c r="AB410" i="3" s="1"/>
  <c r="N424" i="3"/>
  <c r="N423" i="3" s="1"/>
  <c r="N422" i="3" s="1"/>
  <c r="N421" i="3" s="1"/>
  <c r="O424" i="3"/>
  <c r="O423" i="3" s="1"/>
  <c r="O422" i="3" s="1"/>
  <c r="O421" i="3" s="1"/>
  <c r="P424" i="3"/>
  <c r="P423" i="3" s="1"/>
  <c r="P422" i="3" s="1"/>
  <c r="P421" i="3" s="1"/>
  <c r="Q424" i="3"/>
  <c r="Q423" i="3" s="1"/>
  <c r="Q422" i="3" s="1"/>
  <c r="Q421" i="3" s="1"/>
  <c r="R424" i="3"/>
  <c r="R423" i="3" s="1"/>
  <c r="R422" i="3" s="1"/>
  <c r="R421" i="3" s="1"/>
  <c r="S424" i="3"/>
  <c r="S423" i="3" s="1"/>
  <c r="S422" i="3" s="1"/>
  <c r="S421" i="3" s="1"/>
  <c r="T424" i="3"/>
  <c r="T423" i="3" s="1"/>
  <c r="T422" i="3" s="1"/>
  <c r="T421" i="3" s="1"/>
  <c r="U424" i="3"/>
  <c r="U423" i="3" s="1"/>
  <c r="U422" i="3" s="1"/>
  <c r="U421" i="3" s="1"/>
  <c r="V424" i="3"/>
  <c r="V423" i="3" s="1"/>
  <c r="V422" i="3" s="1"/>
  <c r="V421" i="3" s="1"/>
  <c r="W424" i="3"/>
  <c r="W423" i="3" s="1"/>
  <c r="W422" i="3" s="1"/>
  <c r="W421" i="3" s="1"/>
  <c r="X424" i="3"/>
  <c r="X423" i="3" s="1"/>
  <c r="X422" i="3" s="1"/>
  <c r="X421" i="3" s="1"/>
  <c r="Y424" i="3"/>
  <c r="Y423" i="3" s="1"/>
  <c r="Y422" i="3" s="1"/>
  <c r="Y421" i="3" s="1"/>
  <c r="Z424" i="3"/>
  <c r="Z423" i="3" s="1"/>
  <c r="Z422" i="3" s="1"/>
  <c r="Z421" i="3" s="1"/>
  <c r="AA424" i="3"/>
  <c r="AA423" i="3" s="1"/>
  <c r="AA422" i="3" s="1"/>
  <c r="AA421" i="3" s="1"/>
  <c r="AB424" i="3"/>
  <c r="AB423" i="3" s="1"/>
  <c r="AB422" i="3" s="1"/>
  <c r="AB421" i="3" s="1"/>
  <c r="L429" i="3"/>
  <c r="L428" i="3" s="1"/>
  <c r="L427" i="3" s="1"/>
  <c r="M429" i="3"/>
  <c r="M428" i="3" s="1"/>
  <c r="M427" i="3" s="1"/>
  <c r="N429" i="3"/>
  <c r="N428" i="3" s="1"/>
  <c r="N427" i="3" s="1"/>
  <c r="N426" i="3" s="1"/>
  <c r="O429" i="3"/>
  <c r="O428" i="3" s="1"/>
  <c r="O427" i="3" s="1"/>
  <c r="O426" i="3" s="1"/>
  <c r="P429" i="3"/>
  <c r="P428" i="3" s="1"/>
  <c r="Q429" i="3"/>
  <c r="Q428" i="3" s="1"/>
  <c r="R429" i="3"/>
  <c r="R428" i="3" s="1"/>
  <c r="S429" i="3"/>
  <c r="S428" i="3" s="1"/>
  <c r="T429" i="3"/>
  <c r="T428" i="3" s="1"/>
  <c r="U429" i="3"/>
  <c r="U428" i="3" s="1"/>
  <c r="V429" i="3"/>
  <c r="V428" i="3" s="1"/>
  <c r="W429" i="3"/>
  <c r="W428" i="3" s="1"/>
  <c r="X429" i="3"/>
  <c r="X428" i="3" s="1"/>
  <c r="Y429" i="3"/>
  <c r="Y428" i="3" s="1"/>
  <c r="Z429" i="3"/>
  <c r="Z428" i="3" s="1"/>
  <c r="AA429" i="3"/>
  <c r="AA428" i="3" s="1"/>
  <c r="AB429" i="3"/>
  <c r="AB428" i="3" s="1"/>
  <c r="L432" i="3"/>
  <c r="L431" i="3" s="1"/>
  <c r="M432" i="3"/>
  <c r="M431" i="3" s="1"/>
  <c r="N432" i="3"/>
  <c r="N431" i="3" s="1"/>
  <c r="O432" i="3"/>
  <c r="O431" i="3" s="1"/>
  <c r="P432" i="3"/>
  <c r="P431" i="3" s="1"/>
  <c r="Q432" i="3"/>
  <c r="Q431" i="3" s="1"/>
  <c r="R432" i="3"/>
  <c r="R431" i="3" s="1"/>
  <c r="S432" i="3"/>
  <c r="S431" i="3" s="1"/>
  <c r="U432" i="3"/>
  <c r="U431" i="3" s="1"/>
  <c r="V432" i="3"/>
  <c r="V431" i="3" s="1"/>
  <c r="W432" i="3"/>
  <c r="W431" i="3" s="1"/>
  <c r="X432" i="3"/>
  <c r="X431" i="3" s="1"/>
  <c r="Y432" i="3"/>
  <c r="Y431" i="3" s="1"/>
  <c r="Z432" i="3"/>
  <c r="Z431" i="3" s="1"/>
  <c r="AA432" i="3"/>
  <c r="AA431" i="3" s="1"/>
  <c r="AB432" i="3"/>
  <c r="AB431" i="3" s="1"/>
  <c r="T432" i="3"/>
  <c r="T431" i="3" s="1"/>
  <c r="L437" i="3"/>
  <c r="L436" i="3" s="1"/>
  <c r="L435" i="3" s="1"/>
  <c r="L434" i="3" s="1"/>
  <c r="M437" i="3"/>
  <c r="M436" i="3" s="1"/>
  <c r="M435" i="3" s="1"/>
  <c r="M434" i="3" s="1"/>
  <c r="N437" i="3"/>
  <c r="N436" i="3" s="1"/>
  <c r="N435" i="3" s="1"/>
  <c r="N434" i="3" s="1"/>
  <c r="O437" i="3"/>
  <c r="O436" i="3" s="1"/>
  <c r="O435" i="3" s="1"/>
  <c r="O434" i="3" s="1"/>
  <c r="P437" i="3"/>
  <c r="P436" i="3" s="1"/>
  <c r="Q437" i="3"/>
  <c r="Q436" i="3" s="1"/>
  <c r="R437" i="3"/>
  <c r="R436" i="3" s="1"/>
  <c r="S437" i="3"/>
  <c r="S436" i="3" s="1"/>
  <c r="T437" i="3"/>
  <c r="T436" i="3" s="1"/>
  <c r="U437" i="3"/>
  <c r="U436" i="3" s="1"/>
  <c r="V437" i="3"/>
  <c r="V436" i="3" s="1"/>
  <c r="W437" i="3"/>
  <c r="W436" i="3" s="1"/>
  <c r="X437" i="3"/>
  <c r="X436" i="3" s="1"/>
  <c r="Y437" i="3"/>
  <c r="Y436" i="3" s="1"/>
  <c r="Z437" i="3"/>
  <c r="Z436" i="3" s="1"/>
  <c r="AA437" i="3"/>
  <c r="AA436" i="3" s="1"/>
  <c r="AB437" i="3"/>
  <c r="AB436" i="3" s="1"/>
  <c r="L440" i="3"/>
  <c r="L439" i="3" s="1"/>
  <c r="M440" i="3"/>
  <c r="M439" i="3" s="1"/>
  <c r="N440" i="3"/>
  <c r="N439" i="3" s="1"/>
  <c r="O440" i="3"/>
  <c r="O439" i="3" s="1"/>
  <c r="P440" i="3"/>
  <c r="P439" i="3" s="1"/>
  <c r="Q440" i="3"/>
  <c r="Q439" i="3" s="1"/>
  <c r="R440" i="3"/>
  <c r="R439" i="3" s="1"/>
  <c r="S440" i="3"/>
  <c r="S439" i="3" s="1"/>
  <c r="U440" i="3"/>
  <c r="U439" i="3" s="1"/>
  <c r="V440" i="3"/>
  <c r="V439" i="3" s="1"/>
  <c r="W440" i="3"/>
  <c r="W439" i="3" s="1"/>
  <c r="X440" i="3"/>
  <c r="X439" i="3" s="1"/>
  <c r="Y440" i="3"/>
  <c r="Y439" i="3" s="1"/>
  <c r="Z440" i="3"/>
  <c r="Z439" i="3" s="1"/>
  <c r="AA440" i="3"/>
  <c r="AA439" i="3" s="1"/>
  <c r="AB440" i="3"/>
  <c r="AB439" i="3" s="1"/>
  <c r="T440" i="3"/>
  <c r="T439" i="3" s="1"/>
  <c r="L445" i="3"/>
  <c r="L444" i="3" s="1"/>
  <c r="L443" i="3" s="1"/>
  <c r="L442" i="3" s="1"/>
  <c r="M445" i="3"/>
  <c r="M444" i="3" s="1"/>
  <c r="M443" i="3" s="1"/>
  <c r="M442" i="3" s="1"/>
  <c r="L446" i="3"/>
  <c r="M446" i="3"/>
  <c r="N446" i="3"/>
  <c r="O446" i="3"/>
  <c r="P446" i="3"/>
  <c r="Q446" i="3"/>
  <c r="R446" i="3"/>
  <c r="S446" i="3"/>
  <c r="T446" i="3"/>
  <c r="U446" i="3"/>
  <c r="V446" i="3"/>
  <c r="W446" i="3"/>
  <c r="X446" i="3"/>
  <c r="Y446" i="3"/>
  <c r="Z446" i="3"/>
  <c r="AA446" i="3"/>
  <c r="AB446" i="3"/>
  <c r="M449" i="3"/>
  <c r="M448" i="3" s="1"/>
  <c r="N449" i="3"/>
  <c r="N448" i="3" s="1"/>
  <c r="O449" i="3"/>
  <c r="O448" i="3" s="1"/>
  <c r="P449" i="3"/>
  <c r="P448" i="3" s="1"/>
  <c r="R449" i="3"/>
  <c r="R448" i="3" s="1"/>
  <c r="S449" i="3"/>
  <c r="S448" i="3" s="1"/>
  <c r="U449" i="3"/>
  <c r="U448" i="3" s="1"/>
  <c r="V449" i="3"/>
  <c r="V448" i="3" s="1"/>
  <c r="W449" i="3"/>
  <c r="W448" i="3" s="1"/>
  <c r="X449" i="3"/>
  <c r="X448" i="3" s="1"/>
  <c r="Z449" i="3"/>
  <c r="Z448" i="3" s="1"/>
  <c r="AA449" i="3"/>
  <c r="AA448" i="3" s="1"/>
  <c r="AB449" i="3"/>
  <c r="AB448" i="3" s="1"/>
  <c r="L450" i="3"/>
  <c r="L449" i="3" s="1"/>
  <c r="L448" i="3" s="1"/>
  <c r="Q450" i="3"/>
  <c r="Q449" i="3" s="1"/>
  <c r="Q448" i="3" s="1"/>
  <c r="T449" i="3"/>
  <c r="T448" i="3" s="1"/>
  <c r="Y450" i="3"/>
  <c r="Y449" i="3" s="1"/>
  <c r="Y448" i="3" s="1"/>
  <c r="M452" i="3"/>
  <c r="M451" i="3" s="1"/>
  <c r="N452" i="3"/>
  <c r="N451" i="3" s="1"/>
  <c r="N445" i="3" s="1"/>
  <c r="N444" i="3" s="1"/>
  <c r="N443" i="3" s="1"/>
  <c r="N442" i="3" s="1"/>
  <c r="O452" i="3"/>
  <c r="O451" i="3" s="1"/>
  <c r="O445" i="3" s="1"/>
  <c r="O444" i="3" s="1"/>
  <c r="O443" i="3" s="1"/>
  <c r="O442" i="3" s="1"/>
  <c r="R452" i="3"/>
  <c r="R451" i="3" s="1"/>
  <c r="R445" i="3" s="1"/>
  <c r="S452" i="3"/>
  <c r="S451" i="3" s="1"/>
  <c r="V452" i="3"/>
  <c r="V451" i="3" s="1"/>
  <c r="W452" i="3"/>
  <c r="W451" i="3" s="1"/>
  <c r="Z452" i="3"/>
  <c r="Z451" i="3" s="1"/>
  <c r="Z445" i="3" s="1"/>
  <c r="AA452" i="3"/>
  <c r="AA451" i="3" s="1"/>
  <c r="AA445" i="3" s="1"/>
  <c r="AB452" i="3"/>
  <c r="AB451" i="3" s="1"/>
  <c r="AB445" i="3" s="1"/>
  <c r="L453" i="3"/>
  <c r="L452" i="3" s="1"/>
  <c r="L451" i="3" s="1"/>
  <c r="P452" i="3"/>
  <c r="P451" i="3" s="1"/>
  <c r="Q453" i="3"/>
  <c r="Q452" i="3" s="1"/>
  <c r="Q451" i="3" s="1"/>
  <c r="T453" i="3"/>
  <c r="T452" i="3" s="1"/>
  <c r="T451" i="3" s="1"/>
  <c r="U452" i="3"/>
  <c r="U451" i="3" s="1"/>
  <c r="X452" i="3"/>
  <c r="X451" i="3" s="1"/>
  <c r="L461" i="3"/>
  <c r="L460" i="3" s="1"/>
  <c r="L459" i="3" s="1"/>
  <c r="L458" i="3" s="1"/>
  <c r="D57" i="4" s="1"/>
  <c r="M461" i="3"/>
  <c r="M460" i="3" s="1"/>
  <c r="M459" i="3" s="1"/>
  <c r="M458" i="3" s="1"/>
  <c r="E57" i="4" s="1"/>
  <c r="N461" i="3"/>
  <c r="N460" i="3" s="1"/>
  <c r="N459" i="3" s="1"/>
  <c r="N458" i="3" s="1"/>
  <c r="F57" i="4" s="1"/>
  <c r="O461" i="3"/>
  <c r="O460" i="3" s="1"/>
  <c r="O459" i="3" s="1"/>
  <c r="O458" i="3" s="1"/>
  <c r="G57" i="4" s="1"/>
  <c r="P461" i="3"/>
  <c r="P460" i="3" s="1"/>
  <c r="P459" i="3" s="1"/>
  <c r="P458" i="3" s="1"/>
  <c r="H57" i="4" s="1"/>
  <c r="Q461" i="3"/>
  <c r="Q460" i="3" s="1"/>
  <c r="Q459" i="3" s="1"/>
  <c r="Q458" i="3" s="1"/>
  <c r="I57" i="4" s="1"/>
  <c r="R461" i="3"/>
  <c r="R460" i="3" s="1"/>
  <c r="R459" i="3" s="1"/>
  <c r="R458" i="3" s="1"/>
  <c r="J57" i="4" s="1"/>
  <c r="S461" i="3"/>
  <c r="S460" i="3" s="1"/>
  <c r="S459" i="3" s="1"/>
  <c r="S458" i="3" s="1"/>
  <c r="K57" i="4" s="1"/>
  <c r="T461" i="3"/>
  <c r="T460" i="3" s="1"/>
  <c r="T459" i="3" s="1"/>
  <c r="T458" i="3" s="1"/>
  <c r="L57" i="4" s="1"/>
  <c r="U461" i="3"/>
  <c r="U460" i="3" s="1"/>
  <c r="U459" i="3" s="1"/>
  <c r="U458" i="3" s="1"/>
  <c r="M57" i="4" s="1"/>
  <c r="V461" i="3"/>
  <c r="V460" i="3" s="1"/>
  <c r="V459" i="3" s="1"/>
  <c r="V458" i="3" s="1"/>
  <c r="N57" i="4" s="1"/>
  <c r="W461" i="3"/>
  <c r="W460" i="3" s="1"/>
  <c r="W459" i="3" s="1"/>
  <c r="W458" i="3" s="1"/>
  <c r="O57" i="4" s="1"/>
  <c r="X461" i="3"/>
  <c r="X460" i="3" s="1"/>
  <c r="X459" i="3" s="1"/>
  <c r="X458" i="3" s="1"/>
  <c r="P57" i="4" s="1"/>
  <c r="Y461" i="3"/>
  <c r="Y460" i="3" s="1"/>
  <c r="Y459" i="3" s="1"/>
  <c r="Y458" i="3" s="1"/>
  <c r="Q57" i="4" s="1"/>
  <c r="Z461" i="3"/>
  <c r="Z460" i="3" s="1"/>
  <c r="Z459" i="3" s="1"/>
  <c r="Z458" i="3" s="1"/>
  <c r="R57" i="4" s="1"/>
  <c r="AA461" i="3"/>
  <c r="AA460" i="3" s="1"/>
  <c r="AA459" i="3" s="1"/>
  <c r="AA458" i="3" s="1"/>
  <c r="S57" i="4" s="1"/>
  <c r="AB461" i="3"/>
  <c r="AB460" i="3" s="1"/>
  <c r="AB459" i="3" s="1"/>
  <c r="AB458" i="3" s="1"/>
  <c r="T57" i="4" s="1"/>
  <c r="L466" i="3"/>
  <c r="L465" i="3" s="1"/>
  <c r="L464" i="3" s="1"/>
  <c r="L463" i="3" s="1"/>
  <c r="D58" i="4" s="1"/>
  <c r="M466" i="3"/>
  <c r="M465" i="3" s="1"/>
  <c r="M464" i="3" s="1"/>
  <c r="M463" i="3" s="1"/>
  <c r="E58" i="4" s="1"/>
  <c r="N466" i="3"/>
  <c r="N465" i="3" s="1"/>
  <c r="N464" i="3" s="1"/>
  <c r="N463" i="3" s="1"/>
  <c r="F58" i="4" s="1"/>
  <c r="O466" i="3"/>
  <c r="O465" i="3" s="1"/>
  <c r="O464" i="3" s="1"/>
  <c r="O463" i="3" s="1"/>
  <c r="G58" i="4" s="1"/>
  <c r="P466" i="3"/>
  <c r="P465" i="3" s="1"/>
  <c r="P464" i="3" s="1"/>
  <c r="P463" i="3" s="1"/>
  <c r="H58" i="4" s="1"/>
  <c r="Q466" i="3"/>
  <c r="Q465" i="3" s="1"/>
  <c r="Q464" i="3" s="1"/>
  <c r="Q463" i="3" s="1"/>
  <c r="I58" i="4" s="1"/>
  <c r="R466" i="3"/>
  <c r="R465" i="3" s="1"/>
  <c r="R464" i="3" s="1"/>
  <c r="R463" i="3" s="1"/>
  <c r="J58" i="4" s="1"/>
  <c r="S466" i="3"/>
  <c r="S465" i="3" s="1"/>
  <c r="S464" i="3" s="1"/>
  <c r="S463" i="3" s="1"/>
  <c r="K58" i="4" s="1"/>
  <c r="U466" i="3"/>
  <c r="U465" i="3" s="1"/>
  <c r="U464" i="3" s="1"/>
  <c r="U463" i="3" s="1"/>
  <c r="M58" i="4" s="1"/>
  <c r="V466" i="3"/>
  <c r="V465" i="3" s="1"/>
  <c r="V464" i="3" s="1"/>
  <c r="V463" i="3" s="1"/>
  <c r="N58" i="4" s="1"/>
  <c r="W466" i="3"/>
  <c r="W465" i="3" s="1"/>
  <c r="W464" i="3" s="1"/>
  <c r="W463" i="3" s="1"/>
  <c r="O58" i="4" s="1"/>
  <c r="X466" i="3"/>
  <c r="X465" i="3" s="1"/>
  <c r="X464" i="3" s="1"/>
  <c r="X463" i="3" s="1"/>
  <c r="P58" i="4" s="1"/>
  <c r="Y466" i="3"/>
  <c r="Y465" i="3" s="1"/>
  <c r="Y464" i="3" s="1"/>
  <c r="Y463" i="3" s="1"/>
  <c r="Q58" i="4" s="1"/>
  <c r="Z466" i="3"/>
  <c r="Z465" i="3" s="1"/>
  <c r="Z464" i="3" s="1"/>
  <c r="Z463" i="3" s="1"/>
  <c r="R58" i="4" s="1"/>
  <c r="AA466" i="3"/>
  <c r="AA465" i="3" s="1"/>
  <c r="AA464" i="3" s="1"/>
  <c r="AA463" i="3" s="1"/>
  <c r="S58" i="4" s="1"/>
  <c r="AB466" i="3"/>
  <c r="AB465" i="3" s="1"/>
  <c r="AB464" i="3" s="1"/>
  <c r="AB463" i="3" s="1"/>
  <c r="T58" i="4" s="1"/>
  <c r="T466" i="3"/>
  <c r="T465" i="3" s="1"/>
  <c r="T464" i="3" s="1"/>
  <c r="T463" i="3" s="1"/>
  <c r="L58" i="4" s="1"/>
  <c r="L471" i="3"/>
  <c r="L470" i="3" s="1"/>
  <c r="L469" i="3" s="1"/>
  <c r="L468" i="3" s="1"/>
  <c r="M471" i="3"/>
  <c r="M470" i="3" s="1"/>
  <c r="M469" i="3" s="1"/>
  <c r="M468" i="3" s="1"/>
  <c r="N471" i="3"/>
  <c r="N470" i="3" s="1"/>
  <c r="N469" i="3" s="1"/>
  <c r="N468" i="3" s="1"/>
  <c r="O471" i="3"/>
  <c r="O470" i="3" s="1"/>
  <c r="O469" i="3" s="1"/>
  <c r="O468" i="3" s="1"/>
  <c r="P471" i="3"/>
  <c r="P470" i="3" s="1"/>
  <c r="P469" i="3" s="1"/>
  <c r="P468" i="3" s="1"/>
  <c r="Q471" i="3"/>
  <c r="Q470" i="3" s="1"/>
  <c r="Q469" i="3" s="1"/>
  <c r="Q468" i="3" s="1"/>
  <c r="R471" i="3"/>
  <c r="R470" i="3" s="1"/>
  <c r="R469" i="3" s="1"/>
  <c r="R468" i="3" s="1"/>
  <c r="S471" i="3"/>
  <c r="S470" i="3" s="1"/>
  <c r="S469" i="3" s="1"/>
  <c r="S468" i="3" s="1"/>
  <c r="T471" i="3"/>
  <c r="T470" i="3" s="1"/>
  <c r="T469" i="3" s="1"/>
  <c r="T468" i="3" s="1"/>
  <c r="U471" i="3"/>
  <c r="U470" i="3" s="1"/>
  <c r="U469" i="3" s="1"/>
  <c r="U468" i="3" s="1"/>
  <c r="V471" i="3"/>
  <c r="V470" i="3" s="1"/>
  <c r="V469" i="3" s="1"/>
  <c r="V468" i="3" s="1"/>
  <c r="W471" i="3"/>
  <c r="W470" i="3" s="1"/>
  <c r="W469" i="3" s="1"/>
  <c r="W468" i="3" s="1"/>
  <c r="X471" i="3"/>
  <c r="X470" i="3" s="1"/>
  <c r="X469" i="3" s="1"/>
  <c r="X468" i="3" s="1"/>
  <c r="Y471" i="3"/>
  <c r="Y470" i="3" s="1"/>
  <c r="Y469" i="3" s="1"/>
  <c r="Y468" i="3" s="1"/>
  <c r="Z471" i="3"/>
  <c r="Z470" i="3" s="1"/>
  <c r="Z469" i="3" s="1"/>
  <c r="Z468" i="3" s="1"/>
  <c r="AA471" i="3"/>
  <c r="AA470" i="3" s="1"/>
  <c r="AA469" i="3" s="1"/>
  <c r="AA468" i="3" s="1"/>
  <c r="AB471" i="3"/>
  <c r="AB470" i="3" s="1"/>
  <c r="AB469" i="3" s="1"/>
  <c r="AB468" i="3" s="1"/>
  <c r="L476" i="3"/>
  <c r="L475" i="3" s="1"/>
  <c r="M476" i="3"/>
  <c r="M475" i="3" s="1"/>
  <c r="N476" i="3"/>
  <c r="N475" i="3" s="1"/>
  <c r="O476" i="3"/>
  <c r="O475" i="3" s="1"/>
  <c r="P476" i="3"/>
  <c r="P475" i="3" s="1"/>
  <c r="Q476" i="3"/>
  <c r="Q475" i="3" s="1"/>
  <c r="R476" i="3"/>
  <c r="R475" i="3" s="1"/>
  <c r="S476" i="3"/>
  <c r="S475" i="3" s="1"/>
  <c r="T476" i="3"/>
  <c r="T475" i="3" s="1"/>
  <c r="U476" i="3"/>
  <c r="U475" i="3" s="1"/>
  <c r="V476" i="3"/>
  <c r="V475" i="3" s="1"/>
  <c r="W476" i="3"/>
  <c r="W475" i="3" s="1"/>
  <c r="X476" i="3"/>
  <c r="X475" i="3" s="1"/>
  <c r="Y476" i="3"/>
  <c r="Y475" i="3" s="1"/>
  <c r="Z476" i="3"/>
  <c r="Z475" i="3" s="1"/>
  <c r="AA476" i="3"/>
  <c r="AA475" i="3" s="1"/>
  <c r="AB476" i="3"/>
  <c r="AB475" i="3" s="1"/>
  <c r="M479" i="3"/>
  <c r="O479" i="3"/>
  <c r="R479" i="3"/>
  <c r="S479" i="3"/>
  <c r="W479" i="3"/>
  <c r="X479" i="3"/>
  <c r="AA479" i="3"/>
  <c r="L480" i="3"/>
  <c r="L479" i="3" s="1"/>
  <c r="N480" i="3"/>
  <c r="N479" i="3" s="1"/>
  <c r="P480" i="3"/>
  <c r="Q480" i="3"/>
  <c r="Q479" i="3" s="1"/>
  <c r="U480" i="3"/>
  <c r="U479" i="3" s="1"/>
  <c r="V480" i="3"/>
  <c r="V479" i="3" s="1"/>
  <c r="Y480" i="3"/>
  <c r="Y479" i="3" s="1"/>
  <c r="Z480" i="3"/>
  <c r="Z479" i="3" s="1"/>
  <c r="AB480" i="3"/>
  <c r="AB479" i="3" s="1"/>
  <c r="L481" i="3"/>
  <c r="M481" i="3"/>
  <c r="N481" i="3"/>
  <c r="O481" i="3"/>
  <c r="P481" i="3"/>
  <c r="Q481" i="3"/>
  <c r="R481" i="3"/>
  <c r="S481" i="3"/>
  <c r="T481" i="3"/>
  <c r="U481" i="3"/>
  <c r="V481" i="3"/>
  <c r="W481" i="3"/>
  <c r="X481" i="3"/>
  <c r="Y481" i="3"/>
  <c r="Z481" i="3"/>
  <c r="AA481" i="3"/>
  <c r="AB481" i="3"/>
  <c r="N491" i="3"/>
  <c r="N490" i="3" s="1"/>
  <c r="O491" i="3"/>
  <c r="O490" i="3" s="1"/>
  <c r="P491" i="3"/>
  <c r="P490" i="3" s="1"/>
  <c r="Q491" i="3"/>
  <c r="Q490" i="3" s="1"/>
  <c r="R491" i="3"/>
  <c r="R490" i="3" s="1"/>
  <c r="S491" i="3"/>
  <c r="S490" i="3" s="1"/>
  <c r="T491" i="3"/>
  <c r="T490" i="3" s="1"/>
  <c r="U491" i="3"/>
  <c r="U490" i="3" s="1"/>
  <c r="V491" i="3"/>
  <c r="V490" i="3" s="1"/>
  <c r="W491" i="3"/>
  <c r="W490" i="3" s="1"/>
  <c r="X491" i="3"/>
  <c r="X490" i="3" s="1"/>
  <c r="Y491" i="3"/>
  <c r="Y490" i="3" s="1"/>
  <c r="Z491" i="3"/>
  <c r="Z490" i="3" s="1"/>
  <c r="AA491" i="3"/>
  <c r="AA490" i="3" s="1"/>
  <c r="AB491" i="3"/>
  <c r="AB490" i="3" s="1"/>
  <c r="L494" i="3"/>
  <c r="L493" i="3" s="1"/>
  <c r="L489" i="3" s="1"/>
  <c r="L484" i="3" s="1"/>
  <c r="D63" i="4" s="1"/>
  <c r="M494" i="3"/>
  <c r="M493" i="3" s="1"/>
  <c r="M489" i="3" s="1"/>
  <c r="M484" i="3" s="1"/>
  <c r="E63" i="4" s="1"/>
  <c r="N494" i="3"/>
  <c r="N493" i="3" s="1"/>
  <c r="O494" i="3"/>
  <c r="O493" i="3" s="1"/>
  <c r="P494" i="3"/>
  <c r="P493" i="3" s="1"/>
  <c r="Q494" i="3"/>
  <c r="Q493" i="3" s="1"/>
  <c r="R494" i="3"/>
  <c r="R493" i="3" s="1"/>
  <c r="S494" i="3"/>
  <c r="S493" i="3" s="1"/>
  <c r="T494" i="3"/>
  <c r="T493" i="3" s="1"/>
  <c r="U494" i="3"/>
  <c r="U493" i="3" s="1"/>
  <c r="V494" i="3"/>
  <c r="V493" i="3" s="1"/>
  <c r="W494" i="3"/>
  <c r="W493" i="3" s="1"/>
  <c r="X494" i="3"/>
  <c r="X493" i="3" s="1"/>
  <c r="Y494" i="3"/>
  <c r="Y493" i="3" s="1"/>
  <c r="Z494" i="3"/>
  <c r="Z493" i="3" s="1"/>
  <c r="AA494" i="3"/>
  <c r="AA493" i="3" s="1"/>
  <c r="AB494" i="3"/>
  <c r="AB493" i="3" s="1"/>
  <c r="Q496" i="3"/>
  <c r="R496" i="3"/>
  <c r="V496" i="3"/>
  <c r="W496" i="3"/>
  <c r="P497" i="3"/>
  <c r="P496" i="3" s="1"/>
  <c r="S497" i="3"/>
  <c r="S496" i="3" s="1"/>
  <c r="U497" i="3"/>
  <c r="U496" i="3" s="1"/>
  <c r="X497" i="3"/>
  <c r="X496" i="3" s="1"/>
  <c r="Y497" i="3"/>
  <c r="Y496" i="3" s="1"/>
  <c r="Z497" i="3"/>
  <c r="Z496" i="3" s="1"/>
  <c r="AA497" i="3"/>
  <c r="AA496" i="3" s="1"/>
  <c r="AB497" i="3"/>
  <c r="AB496" i="3" s="1"/>
  <c r="T497" i="3"/>
  <c r="T496" i="3" s="1"/>
  <c r="N502" i="3"/>
  <c r="N501" i="3" s="1"/>
  <c r="N500" i="3" s="1"/>
  <c r="N499" i="3" s="1"/>
  <c r="N496" i="3" s="1"/>
  <c r="Q502" i="3"/>
  <c r="Q501" i="3" s="1"/>
  <c r="R502" i="3"/>
  <c r="R501" i="3" s="1"/>
  <c r="T502" i="3"/>
  <c r="T501" i="3" s="1"/>
  <c r="U502" i="3"/>
  <c r="U501" i="3" s="1"/>
  <c r="U500" i="3" s="1"/>
  <c r="U499" i="3" s="1"/>
  <c r="M64" i="4" s="1"/>
  <c r="V502" i="3"/>
  <c r="V501" i="3" s="1"/>
  <c r="V500" i="3" s="1"/>
  <c r="V499" i="3" s="1"/>
  <c r="N64" i="4" s="1"/>
  <c r="W502" i="3"/>
  <c r="W501" i="3" s="1"/>
  <c r="W500" i="3" s="1"/>
  <c r="W499" i="3" s="1"/>
  <c r="O64" i="4" s="1"/>
  <c r="X502" i="3"/>
  <c r="X501" i="3" s="1"/>
  <c r="X500" i="3" s="1"/>
  <c r="X499" i="3" s="1"/>
  <c r="P64" i="4" s="1"/>
  <c r="Y502" i="3"/>
  <c r="Y501" i="3" s="1"/>
  <c r="Y500" i="3" s="1"/>
  <c r="Y499" i="3" s="1"/>
  <c r="Q64" i="4" s="1"/>
  <c r="Z502" i="3"/>
  <c r="Z501" i="3" s="1"/>
  <c r="Z500" i="3" s="1"/>
  <c r="Z499" i="3" s="1"/>
  <c r="R64" i="4" s="1"/>
  <c r="AA502" i="3"/>
  <c r="AA501" i="3" s="1"/>
  <c r="AA500" i="3" s="1"/>
  <c r="AA499" i="3" s="1"/>
  <c r="S64" i="4" s="1"/>
  <c r="AB502" i="3"/>
  <c r="AB501" i="3" s="1"/>
  <c r="AB500" i="3" s="1"/>
  <c r="AB499" i="3" s="1"/>
  <c r="T64" i="4" s="1"/>
  <c r="O503" i="3"/>
  <c r="O502" i="3" s="1"/>
  <c r="O501" i="3" s="1"/>
  <c r="O500" i="3" s="1"/>
  <c r="O499" i="3" s="1"/>
  <c r="O496" i="3" s="1"/>
  <c r="S503" i="3"/>
  <c r="S502" i="3" s="1"/>
  <c r="S501" i="3" s="1"/>
  <c r="P505" i="3"/>
  <c r="S505" i="3"/>
  <c r="U505" i="3"/>
  <c r="X505" i="3"/>
  <c r="Y505" i="3"/>
  <c r="Z505" i="3"/>
  <c r="AA505" i="3"/>
  <c r="AB505" i="3"/>
  <c r="T506" i="3"/>
  <c r="T505" i="3" s="1"/>
  <c r="N507" i="3"/>
  <c r="N504" i="3" s="1"/>
  <c r="P507" i="3"/>
  <c r="P504" i="3" s="1"/>
  <c r="Q507" i="3"/>
  <c r="Q504" i="3" s="1"/>
  <c r="R507" i="3"/>
  <c r="R504" i="3" s="1"/>
  <c r="S507" i="3"/>
  <c r="S504" i="3" s="1"/>
  <c r="U507" i="3"/>
  <c r="U504" i="3" s="1"/>
  <c r="V507" i="3"/>
  <c r="V504" i="3" s="1"/>
  <c r="W507" i="3"/>
  <c r="W504" i="3" s="1"/>
  <c r="X507" i="3"/>
  <c r="X504" i="3" s="1"/>
  <c r="Y507" i="3"/>
  <c r="Y504" i="3" s="1"/>
  <c r="Z507" i="3"/>
  <c r="Z504" i="3" s="1"/>
  <c r="AA507" i="3"/>
  <c r="AA504" i="3" s="1"/>
  <c r="AB507" i="3"/>
  <c r="AB504" i="3" s="1"/>
  <c r="O508" i="3"/>
  <c r="O507" i="3" s="1"/>
  <c r="O504" i="3" s="1"/>
  <c r="T507" i="3"/>
  <c r="L512" i="3"/>
  <c r="L511" i="3" s="1"/>
  <c r="L510" i="3" s="1"/>
  <c r="L509" i="3" s="1"/>
  <c r="D65" i="4" s="1"/>
  <c r="M512" i="3"/>
  <c r="M511" i="3" s="1"/>
  <c r="M510" i="3" s="1"/>
  <c r="M509" i="3" s="1"/>
  <c r="E65" i="4" s="1"/>
  <c r="N512" i="3"/>
  <c r="N511" i="3" s="1"/>
  <c r="N510" i="3" s="1"/>
  <c r="N509" i="3" s="1"/>
  <c r="O512" i="3"/>
  <c r="O511" i="3" s="1"/>
  <c r="O510" i="3" s="1"/>
  <c r="O509" i="3" s="1"/>
  <c r="P512" i="3"/>
  <c r="P511" i="3" s="1"/>
  <c r="Q512" i="3"/>
  <c r="Q511" i="3" s="1"/>
  <c r="R512" i="3"/>
  <c r="R511" i="3" s="1"/>
  <c r="S512" i="3"/>
  <c r="S511" i="3" s="1"/>
  <c r="T512" i="3"/>
  <c r="T511" i="3" s="1"/>
  <c r="U512" i="3"/>
  <c r="U511" i="3" s="1"/>
  <c r="V512" i="3"/>
  <c r="V511" i="3" s="1"/>
  <c r="W512" i="3"/>
  <c r="W511" i="3" s="1"/>
  <c r="X512" i="3"/>
  <c r="X511" i="3" s="1"/>
  <c r="Y512" i="3"/>
  <c r="Y511" i="3" s="1"/>
  <c r="Z512" i="3"/>
  <c r="Z511" i="3" s="1"/>
  <c r="AA512" i="3"/>
  <c r="AA511" i="3" s="1"/>
  <c r="AB512" i="3"/>
  <c r="AB511" i="3" s="1"/>
  <c r="N514" i="3"/>
  <c r="O514" i="3"/>
  <c r="Q514" i="3"/>
  <c r="R514" i="3"/>
  <c r="V514" i="3"/>
  <c r="W514" i="3"/>
  <c r="P515" i="3"/>
  <c r="P514" i="3" s="1"/>
  <c r="S515" i="3"/>
  <c r="S514" i="3" s="1"/>
  <c r="U515" i="3"/>
  <c r="U514" i="3" s="1"/>
  <c r="X515" i="3"/>
  <c r="X514" i="3" s="1"/>
  <c r="Y515" i="3"/>
  <c r="Y514" i="3" s="1"/>
  <c r="Z515" i="3"/>
  <c r="Z514" i="3" s="1"/>
  <c r="AA515" i="3"/>
  <c r="AA514" i="3" s="1"/>
  <c r="AB515" i="3"/>
  <c r="AB514" i="3" s="1"/>
  <c r="T515" i="3"/>
  <c r="T514" i="3" s="1"/>
  <c r="L530" i="3"/>
  <c r="L529" i="3" s="1"/>
  <c r="L528" i="3" s="1"/>
  <c r="M530" i="3"/>
  <c r="M529" i="3" s="1"/>
  <c r="M528" i="3" s="1"/>
  <c r="N530" i="3"/>
  <c r="N529" i="3" s="1"/>
  <c r="N528" i="3" s="1"/>
  <c r="O530" i="3"/>
  <c r="O529" i="3" s="1"/>
  <c r="O528" i="3" s="1"/>
  <c r="P530" i="3"/>
  <c r="P529" i="3" s="1"/>
  <c r="P528" i="3" s="1"/>
  <c r="Q530" i="3"/>
  <c r="Q529" i="3" s="1"/>
  <c r="Q528" i="3" s="1"/>
  <c r="R530" i="3"/>
  <c r="R529" i="3" s="1"/>
  <c r="R528" i="3" s="1"/>
  <c r="S530" i="3"/>
  <c r="S529" i="3" s="1"/>
  <c r="S528" i="3" s="1"/>
  <c r="T530" i="3"/>
  <c r="T529" i="3" s="1"/>
  <c r="T528" i="3" s="1"/>
  <c r="U530" i="3"/>
  <c r="U529" i="3" s="1"/>
  <c r="U528" i="3" s="1"/>
  <c r="V530" i="3"/>
  <c r="V529" i="3" s="1"/>
  <c r="V528" i="3" s="1"/>
  <c r="W530" i="3"/>
  <c r="W529" i="3" s="1"/>
  <c r="W528" i="3" s="1"/>
  <c r="X530" i="3"/>
  <c r="X529" i="3" s="1"/>
  <c r="X528" i="3" s="1"/>
  <c r="Y530" i="3"/>
  <c r="Y529" i="3" s="1"/>
  <c r="Y528" i="3" s="1"/>
  <c r="Z530" i="3"/>
  <c r="Z529" i="3" s="1"/>
  <c r="Z528" i="3" s="1"/>
  <c r="AA530" i="3"/>
  <c r="AA529" i="3" s="1"/>
  <c r="AA528" i="3" s="1"/>
  <c r="AB530" i="3"/>
  <c r="AB529" i="3" s="1"/>
  <c r="AB528" i="3" s="1"/>
  <c r="L534" i="3"/>
  <c r="M534" i="3"/>
  <c r="N534" i="3"/>
  <c r="O534" i="3"/>
  <c r="P534" i="3"/>
  <c r="Q534" i="3"/>
  <c r="R534" i="3"/>
  <c r="S534" i="3"/>
  <c r="T534" i="3"/>
  <c r="U534" i="3"/>
  <c r="V534" i="3"/>
  <c r="W534" i="3"/>
  <c r="X534" i="3"/>
  <c r="Y534" i="3"/>
  <c r="Z534" i="3"/>
  <c r="AA534" i="3"/>
  <c r="AB534" i="3"/>
  <c r="L536" i="3"/>
  <c r="M536" i="3"/>
  <c r="N536" i="3"/>
  <c r="O536" i="3"/>
  <c r="P536" i="3"/>
  <c r="Q536" i="3"/>
  <c r="R536" i="3"/>
  <c r="S536" i="3"/>
  <c r="T536" i="3"/>
  <c r="U536" i="3"/>
  <c r="V536" i="3"/>
  <c r="W536" i="3"/>
  <c r="X536" i="3"/>
  <c r="Y536" i="3"/>
  <c r="Z536" i="3"/>
  <c r="AA536" i="3"/>
  <c r="AB536" i="3"/>
  <c r="L541" i="3"/>
  <c r="L540" i="3" s="1"/>
  <c r="L539" i="3" s="1"/>
  <c r="L538" i="3" s="1"/>
  <c r="M541" i="3"/>
  <c r="M540" i="3" s="1"/>
  <c r="M539" i="3" s="1"/>
  <c r="M538" i="3" s="1"/>
  <c r="N541" i="3"/>
  <c r="N540" i="3" s="1"/>
  <c r="N539" i="3" s="1"/>
  <c r="N538" i="3" s="1"/>
  <c r="O541" i="3"/>
  <c r="O540" i="3" s="1"/>
  <c r="O539" i="3" s="1"/>
  <c r="O538" i="3" s="1"/>
  <c r="P541" i="3"/>
  <c r="P540" i="3" s="1"/>
  <c r="P539" i="3" s="1"/>
  <c r="P538" i="3" s="1"/>
  <c r="Q541" i="3"/>
  <c r="Q540" i="3" s="1"/>
  <c r="Q539" i="3" s="1"/>
  <c r="Q538" i="3" s="1"/>
  <c r="R541" i="3"/>
  <c r="R540" i="3" s="1"/>
  <c r="R539" i="3" s="1"/>
  <c r="R538" i="3" s="1"/>
  <c r="S541" i="3"/>
  <c r="S540" i="3" s="1"/>
  <c r="S539" i="3" s="1"/>
  <c r="S538" i="3" s="1"/>
  <c r="T541" i="3"/>
  <c r="T540" i="3" s="1"/>
  <c r="T539" i="3" s="1"/>
  <c r="T538" i="3" s="1"/>
  <c r="U541" i="3"/>
  <c r="U540" i="3" s="1"/>
  <c r="U539" i="3" s="1"/>
  <c r="U538" i="3" s="1"/>
  <c r="V541" i="3"/>
  <c r="V540" i="3" s="1"/>
  <c r="V539" i="3" s="1"/>
  <c r="V538" i="3" s="1"/>
  <c r="W541" i="3"/>
  <c r="W540" i="3" s="1"/>
  <c r="W539" i="3" s="1"/>
  <c r="W538" i="3" s="1"/>
  <c r="X541" i="3"/>
  <c r="X540" i="3" s="1"/>
  <c r="X539" i="3" s="1"/>
  <c r="X538" i="3" s="1"/>
  <c r="Y541" i="3"/>
  <c r="Y540" i="3" s="1"/>
  <c r="Y539" i="3" s="1"/>
  <c r="Y538" i="3" s="1"/>
  <c r="Z541" i="3"/>
  <c r="Z540" i="3" s="1"/>
  <c r="Z539" i="3" s="1"/>
  <c r="Z538" i="3" s="1"/>
  <c r="AA541" i="3"/>
  <c r="AA540" i="3" s="1"/>
  <c r="AA539" i="3" s="1"/>
  <c r="AA538" i="3" s="1"/>
  <c r="AB541" i="3"/>
  <c r="AB540" i="3" s="1"/>
  <c r="AB539" i="3" s="1"/>
  <c r="AB538" i="3" s="1"/>
  <c r="L546" i="3"/>
  <c r="M546" i="3"/>
  <c r="L548" i="3"/>
  <c r="L547" i="3" s="1"/>
  <c r="M548" i="3"/>
  <c r="M547" i="3" s="1"/>
  <c r="N548" i="3"/>
  <c r="N547" i="3" s="1"/>
  <c r="N546" i="3" s="1"/>
  <c r="O548" i="3"/>
  <c r="O547" i="3" s="1"/>
  <c r="O546" i="3" s="1"/>
  <c r="P548" i="3"/>
  <c r="P547" i="3" s="1"/>
  <c r="P546" i="3" s="1"/>
  <c r="Q548" i="3"/>
  <c r="Q547" i="3" s="1"/>
  <c r="Q546" i="3" s="1"/>
  <c r="R548" i="3"/>
  <c r="R547" i="3" s="1"/>
  <c r="R546" i="3" s="1"/>
  <c r="S548" i="3"/>
  <c r="S547" i="3" s="1"/>
  <c r="S546" i="3" s="1"/>
  <c r="T548" i="3"/>
  <c r="T547" i="3" s="1"/>
  <c r="T546" i="3" s="1"/>
  <c r="U548" i="3"/>
  <c r="U547" i="3" s="1"/>
  <c r="U546" i="3" s="1"/>
  <c r="V548" i="3"/>
  <c r="V547" i="3" s="1"/>
  <c r="V546" i="3" s="1"/>
  <c r="W548" i="3"/>
  <c r="W547" i="3" s="1"/>
  <c r="W546" i="3" s="1"/>
  <c r="X548" i="3"/>
  <c r="X547" i="3" s="1"/>
  <c r="X546" i="3" s="1"/>
  <c r="Y548" i="3"/>
  <c r="Y547" i="3" s="1"/>
  <c r="Y546" i="3" s="1"/>
  <c r="Z548" i="3"/>
  <c r="Z547" i="3" s="1"/>
  <c r="Z546" i="3" s="1"/>
  <c r="AA548" i="3"/>
  <c r="AA547" i="3" s="1"/>
  <c r="AA546" i="3" s="1"/>
  <c r="AB548" i="3"/>
  <c r="AB547" i="3" s="1"/>
  <c r="AB546" i="3" s="1"/>
  <c r="N552" i="3"/>
  <c r="O552" i="3"/>
  <c r="R552" i="3"/>
  <c r="S552" i="3"/>
  <c r="W552" i="3"/>
  <c r="X552" i="3"/>
  <c r="AA552" i="3"/>
  <c r="L553" i="3"/>
  <c r="L552" i="3" s="1"/>
  <c r="M553" i="3"/>
  <c r="M552" i="3" s="1"/>
  <c r="P552" i="3"/>
  <c r="Q553" i="3"/>
  <c r="Q552" i="3" s="1"/>
  <c r="T552" i="3"/>
  <c r="U553" i="3"/>
  <c r="U552" i="3" s="1"/>
  <c r="V553" i="3"/>
  <c r="V552" i="3" s="1"/>
  <c r="Y553" i="3"/>
  <c r="Y552" i="3" s="1"/>
  <c r="Z553" i="3"/>
  <c r="Z552" i="3" s="1"/>
  <c r="AB553" i="3"/>
  <c r="AB552" i="3" s="1"/>
  <c r="L554" i="3"/>
  <c r="M554" i="3"/>
  <c r="N554" i="3"/>
  <c r="O554" i="3"/>
  <c r="P554" i="3"/>
  <c r="Q554" i="3"/>
  <c r="R554" i="3"/>
  <c r="S554" i="3"/>
  <c r="T554" i="3"/>
  <c r="U554" i="3"/>
  <c r="V554" i="3"/>
  <c r="W554" i="3"/>
  <c r="X554" i="3"/>
  <c r="Y554" i="3"/>
  <c r="Z554" i="3"/>
  <c r="AA554" i="3"/>
  <c r="AA551" i="3" s="1"/>
  <c r="AB554" i="3"/>
  <c r="N556" i="3"/>
  <c r="Q556" i="3"/>
  <c r="V556" i="3"/>
  <c r="R557" i="3"/>
  <c r="R556" i="3" s="1"/>
  <c r="T557" i="3"/>
  <c r="T556" i="3" s="1"/>
  <c r="W557" i="3"/>
  <c r="W556" i="3" s="1"/>
  <c r="N558" i="3"/>
  <c r="O558" i="3"/>
  <c r="O557" i="3" s="1"/>
  <c r="O556" i="3" s="1"/>
  <c r="Q558" i="3"/>
  <c r="S558" i="3"/>
  <c r="S557" i="3" s="1"/>
  <c r="S556" i="3" s="1"/>
  <c r="U558" i="3"/>
  <c r="U557" i="3" s="1"/>
  <c r="U556" i="3" s="1"/>
  <c r="V558" i="3"/>
  <c r="X558" i="3"/>
  <c r="X557" i="3" s="1"/>
  <c r="X556" i="3" s="1"/>
  <c r="Y558" i="3"/>
  <c r="Y557" i="3" s="1"/>
  <c r="Y556" i="3" s="1"/>
  <c r="Z558" i="3"/>
  <c r="Z557" i="3" s="1"/>
  <c r="Z556" i="3" s="1"/>
  <c r="AB558" i="3"/>
  <c r="AB557" i="3" s="1"/>
  <c r="AB556" i="3" s="1"/>
  <c r="L561" i="3"/>
  <c r="M561" i="3"/>
  <c r="O561" i="3"/>
  <c r="R561" i="3"/>
  <c r="S561" i="3"/>
  <c r="T561" i="3"/>
  <c r="W561" i="3"/>
  <c r="X561" i="3"/>
  <c r="Y561" i="3"/>
  <c r="AA561" i="3"/>
  <c r="N562" i="3"/>
  <c r="N561" i="3" s="1"/>
  <c r="Q562" i="3"/>
  <c r="Q561" i="3" s="1"/>
  <c r="V562" i="3"/>
  <c r="V561" i="3" s="1"/>
  <c r="AB562" i="3"/>
  <c r="AB561" i="3" s="1"/>
  <c r="L563" i="3"/>
  <c r="M563" i="3"/>
  <c r="N563" i="3"/>
  <c r="O563" i="3"/>
  <c r="P563" i="3"/>
  <c r="Q563" i="3"/>
  <c r="R563" i="3"/>
  <c r="S563" i="3"/>
  <c r="T563" i="3"/>
  <c r="U563" i="3"/>
  <c r="V563" i="3"/>
  <c r="W563" i="3"/>
  <c r="X563" i="3"/>
  <c r="Y563" i="3"/>
  <c r="Z563" i="3"/>
  <c r="AA563" i="3"/>
  <c r="AB563" i="3"/>
  <c r="L565" i="3"/>
  <c r="M565" i="3"/>
  <c r="N565" i="3"/>
  <c r="O565" i="3"/>
  <c r="P565" i="3"/>
  <c r="Q565" i="3"/>
  <c r="R565" i="3"/>
  <c r="S565" i="3"/>
  <c r="T565" i="3"/>
  <c r="U565" i="3"/>
  <c r="V565" i="3"/>
  <c r="W565" i="3"/>
  <c r="X565" i="3"/>
  <c r="Y565" i="3"/>
  <c r="Z565" i="3"/>
  <c r="AA565" i="3"/>
  <c r="AB565" i="3"/>
  <c r="L581" i="3"/>
  <c r="L580" i="3" s="1"/>
  <c r="M581" i="3"/>
  <c r="M580" i="3" s="1"/>
  <c r="N581" i="3"/>
  <c r="N580" i="3" s="1"/>
  <c r="O581" i="3"/>
  <c r="O580" i="3" s="1"/>
  <c r="P581" i="3"/>
  <c r="P580" i="3" s="1"/>
  <c r="R581" i="3"/>
  <c r="R580" i="3" s="1"/>
  <c r="S581" i="3"/>
  <c r="S580" i="3" s="1"/>
  <c r="T581" i="3"/>
  <c r="T580" i="3" s="1"/>
  <c r="W581" i="3"/>
  <c r="W580" i="3" s="1"/>
  <c r="X581" i="3"/>
  <c r="X580" i="3" s="1"/>
  <c r="AA581" i="3"/>
  <c r="AA580" i="3" s="1"/>
  <c r="Q582" i="3"/>
  <c r="Q581" i="3" s="1"/>
  <c r="Q580" i="3" s="1"/>
  <c r="U582" i="3"/>
  <c r="U581" i="3" s="1"/>
  <c r="U580" i="3" s="1"/>
  <c r="V582" i="3"/>
  <c r="V581" i="3" s="1"/>
  <c r="V580" i="3" s="1"/>
  <c r="Y582" i="3"/>
  <c r="Y581" i="3" s="1"/>
  <c r="Y580" i="3" s="1"/>
  <c r="Z582" i="3"/>
  <c r="Z581" i="3" s="1"/>
  <c r="Z580" i="3" s="1"/>
  <c r="AB582" i="3"/>
  <c r="AB581" i="3" s="1"/>
  <c r="AB580" i="3" s="1"/>
  <c r="L587" i="3"/>
  <c r="L586" i="3" s="1"/>
  <c r="M587" i="3"/>
  <c r="M586" i="3" s="1"/>
  <c r="N587" i="3"/>
  <c r="N586" i="3" s="1"/>
  <c r="O587" i="3"/>
  <c r="O586" i="3" s="1"/>
  <c r="P587" i="3"/>
  <c r="P586" i="3" s="1"/>
  <c r="R587" i="3"/>
  <c r="R586" i="3" s="1"/>
  <c r="S587" i="3"/>
  <c r="S586" i="3" s="1"/>
  <c r="T587" i="3"/>
  <c r="T586" i="3" s="1"/>
  <c r="W587" i="3"/>
  <c r="W586" i="3" s="1"/>
  <c r="X587" i="3"/>
  <c r="X586" i="3" s="1"/>
  <c r="AA587" i="3"/>
  <c r="AA586" i="3" s="1"/>
  <c r="Q588" i="3"/>
  <c r="Q587" i="3" s="1"/>
  <c r="Q586" i="3" s="1"/>
  <c r="U588" i="3"/>
  <c r="U587" i="3" s="1"/>
  <c r="U586" i="3" s="1"/>
  <c r="V588" i="3"/>
  <c r="V587" i="3" s="1"/>
  <c r="V586" i="3" s="1"/>
  <c r="Y588" i="3"/>
  <c r="Y587" i="3" s="1"/>
  <c r="Y586" i="3" s="1"/>
  <c r="Z588" i="3"/>
  <c r="Z587" i="3" s="1"/>
  <c r="Z586" i="3" s="1"/>
  <c r="AB588" i="3"/>
  <c r="AB587" i="3" s="1"/>
  <c r="AB586" i="3" s="1"/>
  <c r="L590" i="3"/>
  <c r="L589" i="3" s="1"/>
  <c r="M590" i="3"/>
  <c r="M589" i="3" s="1"/>
  <c r="N590" i="3"/>
  <c r="N589" i="3" s="1"/>
  <c r="O590" i="3"/>
  <c r="O589" i="3" s="1"/>
  <c r="P590" i="3"/>
  <c r="P589" i="3" s="1"/>
  <c r="Q590" i="3"/>
  <c r="Q589" i="3" s="1"/>
  <c r="R590" i="3"/>
  <c r="R589" i="3" s="1"/>
  <c r="S590" i="3"/>
  <c r="S589" i="3" s="1"/>
  <c r="T590" i="3"/>
  <c r="T589" i="3" s="1"/>
  <c r="U590" i="3"/>
  <c r="U589" i="3" s="1"/>
  <c r="V590" i="3"/>
  <c r="V589" i="3" s="1"/>
  <c r="W590" i="3"/>
  <c r="W589" i="3" s="1"/>
  <c r="X590" i="3"/>
  <c r="X589" i="3" s="1"/>
  <c r="Y590" i="3"/>
  <c r="Y589" i="3" s="1"/>
  <c r="Z590" i="3"/>
  <c r="Z589" i="3" s="1"/>
  <c r="AA590" i="3"/>
  <c r="AA589" i="3" s="1"/>
  <c r="AB590" i="3"/>
  <c r="AB589" i="3" s="1"/>
  <c r="L593" i="3"/>
  <c r="L592" i="3" s="1"/>
  <c r="M593" i="3"/>
  <c r="M592" i="3" s="1"/>
  <c r="N593" i="3"/>
  <c r="N592" i="3" s="1"/>
  <c r="O593" i="3"/>
  <c r="O592" i="3" s="1"/>
  <c r="P593" i="3"/>
  <c r="P592" i="3" s="1"/>
  <c r="Q593" i="3"/>
  <c r="Q592" i="3" s="1"/>
  <c r="R593" i="3"/>
  <c r="R592" i="3" s="1"/>
  <c r="S593" i="3"/>
  <c r="S592" i="3" s="1"/>
  <c r="U593" i="3"/>
  <c r="U592" i="3" s="1"/>
  <c r="V593" i="3"/>
  <c r="V592" i="3" s="1"/>
  <c r="W593" i="3"/>
  <c r="W592" i="3" s="1"/>
  <c r="X593" i="3"/>
  <c r="X592" i="3" s="1"/>
  <c r="Y593" i="3"/>
  <c r="Y592" i="3" s="1"/>
  <c r="Z593" i="3"/>
  <c r="Z592" i="3" s="1"/>
  <c r="AA593" i="3"/>
  <c r="AA592" i="3" s="1"/>
  <c r="AB593" i="3"/>
  <c r="AB592" i="3" s="1"/>
  <c r="T593" i="3"/>
  <c r="T592" i="3" s="1"/>
  <c r="L597" i="3"/>
  <c r="L596" i="3" s="1"/>
  <c r="L595" i="3" s="1"/>
  <c r="L584" i="3" s="1"/>
  <c r="D41" i="4" s="1"/>
  <c r="D38" i="4" s="1"/>
  <c r="M597" i="3"/>
  <c r="M596" i="3" s="1"/>
  <c r="M595" i="3" s="1"/>
  <c r="M584" i="3" s="1"/>
  <c r="E41" i="4" s="1"/>
  <c r="E38" i="4" s="1"/>
  <c r="N597" i="3"/>
  <c r="N596" i="3" s="1"/>
  <c r="N595" i="3" s="1"/>
  <c r="O597" i="3"/>
  <c r="O596" i="3" s="1"/>
  <c r="O595" i="3" s="1"/>
  <c r="P597" i="3"/>
  <c r="P596" i="3" s="1"/>
  <c r="P595" i="3" s="1"/>
  <c r="Q597" i="3"/>
  <c r="Q596" i="3" s="1"/>
  <c r="Q595" i="3" s="1"/>
  <c r="R597" i="3"/>
  <c r="R596" i="3" s="1"/>
  <c r="R595" i="3" s="1"/>
  <c r="S597" i="3"/>
  <c r="S596" i="3" s="1"/>
  <c r="S595" i="3" s="1"/>
  <c r="T597" i="3"/>
  <c r="T596" i="3" s="1"/>
  <c r="T595" i="3" s="1"/>
  <c r="U597" i="3"/>
  <c r="U596" i="3" s="1"/>
  <c r="U595" i="3" s="1"/>
  <c r="V597" i="3"/>
  <c r="V596" i="3" s="1"/>
  <c r="V595" i="3" s="1"/>
  <c r="W597" i="3"/>
  <c r="W596" i="3" s="1"/>
  <c r="W595" i="3" s="1"/>
  <c r="X597" i="3"/>
  <c r="X596" i="3" s="1"/>
  <c r="X595" i="3" s="1"/>
  <c r="Y597" i="3"/>
  <c r="Y596" i="3" s="1"/>
  <c r="Y595" i="3" s="1"/>
  <c r="Z597" i="3"/>
  <c r="Z596" i="3" s="1"/>
  <c r="Z595" i="3" s="1"/>
  <c r="AA597" i="3"/>
  <c r="AA596" i="3" s="1"/>
  <c r="AA595" i="3" s="1"/>
  <c r="AB597" i="3"/>
  <c r="AB596" i="3" s="1"/>
  <c r="AB595" i="3" s="1"/>
  <c r="L602" i="3"/>
  <c r="L601" i="3" s="1"/>
  <c r="M602" i="3"/>
  <c r="M601" i="3" s="1"/>
  <c r="N602" i="3"/>
  <c r="N601" i="3" s="1"/>
  <c r="O602" i="3"/>
  <c r="O601" i="3" s="1"/>
  <c r="P602" i="3"/>
  <c r="P601" i="3" s="1"/>
  <c r="Q602" i="3"/>
  <c r="Q601" i="3" s="1"/>
  <c r="R602" i="3"/>
  <c r="R601" i="3" s="1"/>
  <c r="S602" i="3"/>
  <c r="S601" i="3" s="1"/>
  <c r="T602" i="3"/>
  <c r="T601" i="3" s="1"/>
  <c r="U602" i="3"/>
  <c r="U601" i="3" s="1"/>
  <c r="V602" i="3"/>
  <c r="V601" i="3" s="1"/>
  <c r="W602" i="3"/>
  <c r="W601" i="3" s="1"/>
  <c r="X602" i="3"/>
  <c r="X601" i="3" s="1"/>
  <c r="Y602" i="3"/>
  <c r="Y601" i="3" s="1"/>
  <c r="Z602" i="3"/>
  <c r="Z601" i="3" s="1"/>
  <c r="AA602" i="3"/>
  <c r="AA601" i="3" s="1"/>
  <c r="AB602" i="3"/>
  <c r="AB601" i="3" s="1"/>
  <c r="L605" i="3"/>
  <c r="M605" i="3"/>
  <c r="N605" i="3"/>
  <c r="O605" i="3"/>
  <c r="P605" i="3"/>
  <c r="Q605" i="3"/>
  <c r="R605" i="3"/>
  <c r="S605" i="3"/>
  <c r="T605" i="3"/>
  <c r="U605" i="3"/>
  <c r="V605" i="3"/>
  <c r="W605" i="3"/>
  <c r="X605" i="3"/>
  <c r="Y605" i="3"/>
  <c r="Z605" i="3"/>
  <c r="AA605" i="3"/>
  <c r="AB605" i="3"/>
  <c r="L607" i="3"/>
  <c r="M607" i="3"/>
  <c r="N607" i="3"/>
  <c r="O607" i="3"/>
  <c r="P607" i="3"/>
  <c r="Q607" i="3"/>
  <c r="R607" i="3"/>
  <c r="S607" i="3"/>
  <c r="T607" i="3"/>
  <c r="U607" i="3"/>
  <c r="V607" i="3"/>
  <c r="W607" i="3"/>
  <c r="X607" i="3"/>
  <c r="Y607" i="3"/>
  <c r="Z607" i="3"/>
  <c r="AA607" i="3"/>
  <c r="AB607" i="3"/>
  <c r="N612" i="3"/>
  <c r="N611" i="3" s="1"/>
  <c r="N610" i="3" s="1"/>
  <c r="N609" i="3" s="1"/>
  <c r="O612" i="3"/>
  <c r="O611" i="3" s="1"/>
  <c r="O610" i="3" s="1"/>
  <c r="O609" i="3" s="1"/>
  <c r="P612" i="3"/>
  <c r="P611" i="3" s="1"/>
  <c r="P610" i="3" s="1"/>
  <c r="P609" i="3" s="1"/>
  <c r="Q612" i="3"/>
  <c r="Q611" i="3" s="1"/>
  <c r="Q610" i="3" s="1"/>
  <c r="Q609" i="3" s="1"/>
  <c r="R612" i="3"/>
  <c r="R611" i="3" s="1"/>
  <c r="R610" i="3" s="1"/>
  <c r="R609" i="3" s="1"/>
  <c r="S612" i="3"/>
  <c r="S611" i="3" s="1"/>
  <c r="S610" i="3" s="1"/>
  <c r="S609" i="3" s="1"/>
  <c r="T612" i="3"/>
  <c r="T611" i="3" s="1"/>
  <c r="T610" i="3" s="1"/>
  <c r="T609" i="3" s="1"/>
  <c r="U612" i="3"/>
  <c r="U611" i="3" s="1"/>
  <c r="U610" i="3" s="1"/>
  <c r="U609" i="3" s="1"/>
  <c r="V612" i="3"/>
  <c r="V611" i="3" s="1"/>
  <c r="V610" i="3" s="1"/>
  <c r="V609" i="3" s="1"/>
  <c r="W612" i="3"/>
  <c r="W611" i="3" s="1"/>
  <c r="W610" i="3" s="1"/>
  <c r="W609" i="3" s="1"/>
  <c r="X612" i="3"/>
  <c r="X611" i="3" s="1"/>
  <c r="X610" i="3" s="1"/>
  <c r="X609" i="3" s="1"/>
  <c r="Y612" i="3"/>
  <c r="Y611" i="3" s="1"/>
  <c r="Y610" i="3" s="1"/>
  <c r="Y609" i="3" s="1"/>
  <c r="Z612" i="3"/>
  <c r="Z611" i="3" s="1"/>
  <c r="Z610" i="3" s="1"/>
  <c r="Z609" i="3" s="1"/>
  <c r="AA612" i="3"/>
  <c r="AA611" i="3" s="1"/>
  <c r="AA610" i="3" s="1"/>
  <c r="AA609" i="3" s="1"/>
  <c r="AB612" i="3"/>
  <c r="AB611" i="3" s="1"/>
  <c r="AB610" i="3" s="1"/>
  <c r="AB609" i="3" s="1"/>
  <c r="N621" i="3"/>
  <c r="N620" i="3" s="1"/>
  <c r="N619" i="3" s="1"/>
  <c r="N614" i="3" s="1"/>
  <c r="O621" i="3"/>
  <c r="O620" i="3" s="1"/>
  <c r="O619" i="3" s="1"/>
  <c r="O614" i="3" s="1"/>
  <c r="P621" i="3"/>
  <c r="P620" i="3" s="1"/>
  <c r="R621" i="3"/>
  <c r="R620" i="3" s="1"/>
  <c r="S621" i="3"/>
  <c r="S620" i="3" s="1"/>
  <c r="T621" i="3"/>
  <c r="T620" i="3" s="1"/>
  <c r="V621" i="3"/>
  <c r="V620" i="3" s="1"/>
  <c r="W621" i="3"/>
  <c r="W620" i="3" s="1"/>
  <c r="X621" i="3"/>
  <c r="X620" i="3" s="1"/>
  <c r="Z621" i="3"/>
  <c r="Z620" i="3" s="1"/>
  <c r="AA621" i="3"/>
  <c r="AA620" i="3" s="1"/>
  <c r="AB621" i="3"/>
  <c r="AB620" i="3" s="1"/>
  <c r="Q622" i="3"/>
  <c r="Q621" i="3" s="1"/>
  <c r="Q620" i="3" s="1"/>
  <c r="U622" i="3"/>
  <c r="N624" i="3"/>
  <c r="N623" i="3" s="1"/>
  <c r="O624" i="3"/>
  <c r="O623" i="3" s="1"/>
  <c r="P624" i="3"/>
  <c r="P623" i="3" s="1"/>
  <c r="R624" i="3"/>
  <c r="R623" i="3" s="1"/>
  <c r="S624" i="3"/>
  <c r="S623" i="3" s="1"/>
  <c r="T624" i="3"/>
  <c r="T623" i="3" s="1"/>
  <c r="U624" i="3"/>
  <c r="U623" i="3" s="1"/>
  <c r="V624" i="3"/>
  <c r="V623" i="3" s="1"/>
  <c r="W624" i="3"/>
  <c r="W623" i="3" s="1"/>
  <c r="X624" i="3"/>
  <c r="X623" i="3" s="1"/>
  <c r="Z624" i="3"/>
  <c r="Z623" i="3" s="1"/>
  <c r="AA624" i="3"/>
  <c r="AA623" i="3" s="1"/>
  <c r="Q625" i="3"/>
  <c r="Q624" i="3" s="1"/>
  <c r="Q623" i="3" s="1"/>
  <c r="Y624" i="3"/>
  <c r="Y623" i="3" s="1"/>
  <c r="AB624" i="3"/>
  <c r="AB623" i="3" s="1"/>
  <c r="L633" i="3"/>
  <c r="L632" i="3" s="1"/>
  <c r="L631" i="3" s="1"/>
  <c r="L626" i="3" s="1"/>
  <c r="D43" i="4" s="1"/>
  <c r="M633" i="3"/>
  <c r="M632" i="3" s="1"/>
  <c r="M631" i="3" s="1"/>
  <c r="M626" i="3" s="1"/>
  <c r="E43" i="4" s="1"/>
  <c r="N633" i="3"/>
  <c r="N632" i="3" s="1"/>
  <c r="N631" i="3" s="1"/>
  <c r="O633" i="3"/>
  <c r="O632" i="3" s="1"/>
  <c r="O631" i="3" s="1"/>
  <c r="P633" i="3"/>
  <c r="P632" i="3" s="1"/>
  <c r="P631" i="3" s="1"/>
  <c r="Q633" i="3"/>
  <c r="Q632" i="3" s="1"/>
  <c r="Q631" i="3" s="1"/>
  <c r="R633" i="3"/>
  <c r="R632" i="3" s="1"/>
  <c r="R631" i="3" s="1"/>
  <c r="S633" i="3"/>
  <c r="S632" i="3" s="1"/>
  <c r="S631" i="3" s="1"/>
  <c r="T633" i="3"/>
  <c r="T632" i="3" s="1"/>
  <c r="T631" i="3" s="1"/>
  <c r="U633" i="3"/>
  <c r="U632" i="3" s="1"/>
  <c r="U631" i="3" s="1"/>
  <c r="V633" i="3"/>
  <c r="V632" i="3" s="1"/>
  <c r="V631" i="3" s="1"/>
  <c r="W633" i="3"/>
  <c r="W632" i="3" s="1"/>
  <c r="W631" i="3" s="1"/>
  <c r="X633" i="3"/>
  <c r="X632" i="3" s="1"/>
  <c r="X631" i="3" s="1"/>
  <c r="Y633" i="3"/>
  <c r="Y632" i="3" s="1"/>
  <c r="Y631" i="3" s="1"/>
  <c r="Z633" i="3"/>
  <c r="Z632" i="3" s="1"/>
  <c r="Z631" i="3" s="1"/>
  <c r="AA633" i="3"/>
  <c r="AA632" i="3" s="1"/>
  <c r="AA631" i="3" s="1"/>
  <c r="AB633" i="3"/>
  <c r="AB632" i="3" s="1"/>
  <c r="AB631" i="3" s="1"/>
  <c r="N637" i="3"/>
  <c r="N636" i="3" s="1"/>
  <c r="N635" i="3" s="1"/>
  <c r="O637" i="3"/>
  <c r="O636" i="3" s="1"/>
  <c r="O635" i="3" s="1"/>
  <c r="P637" i="3"/>
  <c r="P636" i="3" s="1"/>
  <c r="P635" i="3" s="1"/>
  <c r="R637" i="3"/>
  <c r="R636" i="3" s="1"/>
  <c r="R635" i="3" s="1"/>
  <c r="S637" i="3"/>
  <c r="S636" i="3" s="1"/>
  <c r="S635" i="3" s="1"/>
  <c r="T637" i="3"/>
  <c r="T636" i="3" s="1"/>
  <c r="T635" i="3" s="1"/>
  <c r="W637" i="3"/>
  <c r="W636" i="3" s="1"/>
  <c r="W635" i="3" s="1"/>
  <c r="X637" i="3"/>
  <c r="X636" i="3" s="1"/>
  <c r="X635" i="3" s="1"/>
  <c r="AA637" i="3"/>
  <c r="AA636" i="3" s="1"/>
  <c r="AA635" i="3" s="1"/>
  <c r="Q638" i="3"/>
  <c r="Q637" i="3" s="1"/>
  <c r="Q636" i="3" s="1"/>
  <c r="Q635" i="3" s="1"/>
  <c r="U638" i="3"/>
  <c r="U637" i="3" s="1"/>
  <c r="U636" i="3" s="1"/>
  <c r="U635" i="3" s="1"/>
  <c r="V638" i="3"/>
  <c r="V637" i="3" s="1"/>
  <c r="V636" i="3" s="1"/>
  <c r="V635" i="3" s="1"/>
  <c r="Y638" i="3"/>
  <c r="Y637" i="3" s="1"/>
  <c r="Y636" i="3" s="1"/>
  <c r="Y635" i="3" s="1"/>
  <c r="Z638" i="3"/>
  <c r="Z637" i="3" s="1"/>
  <c r="Z636" i="3" s="1"/>
  <c r="Z635" i="3" s="1"/>
  <c r="AB638" i="3"/>
  <c r="AB637" i="3" s="1"/>
  <c r="AB636" i="3" s="1"/>
  <c r="AB635" i="3" s="1"/>
  <c r="N644" i="3"/>
  <c r="N643" i="3" s="1"/>
  <c r="N642" i="3" s="1"/>
  <c r="O644" i="3"/>
  <c r="O643" i="3" s="1"/>
  <c r="O642" i="3" s="1"/>
  <c r="P644" i="3"/>
  <c r="P643" i="3" s="1"/>
  <c r="P642" i="3" s="1"/>
  <c r="R644" i="3"/>
  <c r="R643" i="3" s="1"/>
  <c r="R642" i="3" s="1"/>
  <c r="S644" i="3"/>
  <c r="S643" i="3" s="1"/>
  <c r="S642" i="3" s="1"/>
  <c r="T644" i="3"/>
  <c r="T643" i="3" s="1"/>
  <c r="T642" i="3" s="1"/>
  <c r="W644" i="3"/>
  <c r="W643" i="3" s="1"/>
  <c r="W642" i="3" s="1"/>
  <c r="X644" i="3"/>
  <c r="X643" i="3" s="1"/>
  <c r="X642" i="3" s="1"/>
  <c r="AA644" i="3"/>
  <c r="AA643" i="3" s="1"/>
  <c r="AA642" i="3" s="1"/>
  <c r="Q645" i="3"/>
  <c r="Q644" i="3" s="1"/>
  <c r="Q643" i="3" s="1"/>
  <c r="Q642" i="3" s="1"/>
  <c r="U645" i="3"/>
  <c r="U644" i="3" s="1"/>
  <c r="U643" i="3" s="1"/>
  <c r="U642" i="3" s="1"/>
  <c r="V645" i="3"/>
  <c r="V644" i="3" s="1"/>
  <c r="V643" i="3" s="1"/>
  <c r="V642" i="3" s="1"/>
  <c r="Y645" i="3"/>
  <c r="Y644" i="3" s="1"/>
  <c r="Y643" i="3" s="1"/>
  <c r="Y642" i="3" s="1"/>
  <c r="Z645" i="3"/>
  <c r="Z644" i="3" s="1"/>
  <c r="Z643" i="3" s="1"/>
  <c r="Z642" i="3" s="1"/>
  <c r="AB645" i="3"/>
  <c r="AB644" i="3" s="1"/>
  <c r="AB643" i="3" s="1"/>
  <c r="AB642" i="3" s="1"/>
  <c r="L650" i="3"/>
  <c r="L649" i="3" s="1"/>
  <c r="L648" i="3" s="1"/>
  <c r="L647" i="3" s="1"/>
  <c r="M650" i="3"/>
  <c r="M649" i="3" s="1"/>
  <c r="M648" i="3" s="1"/>
  <c r="M647" i="3" s="1"/>
  <c r="N650" i="3"/>
  <c r="N649" i="3" s="1"/>
  <c r="N648" i="3" s="1"/>
  <c r="N647" i="3" s="1"/>
  <c r="O650" i="3"/>
  <c r="O649" i="3" s="1"/>
  <c r="O648" i="3" s="1"/>
  <c r="O647" i="3" s="1"/>
  <c r="R650" i="3"/>
  <c r="R649" i="3" s="1"/>
  <c r="R648" i="3" s="1"/>
  <c r="R647" i="3" s="1"/>
  <c r="S650" i="3"/>
  <c r="S649" i="3" s="1"/>
  <c r="S648" i="3" s="1"/>
  <c r="S647" i="3" s="1"/>
  <c r="W650" i="3"/>
  <c r="W649" i="3" s="1"/>
  <c r="W648" i="3" s="1"/>
  <c r="W647" i="3" s="1"/>
  <c r="X650" i="3"/>
  <c r="X649" i="3" s="1"/>
  <c r="X648" i="3" s="1"/>
  <c r="X647" i="3" s="1"/>
  <c r="AA650" i="3"/>
  <c r="AA649" i="3" s="1"/>
  <c r="AA648" i="3" s="1"/>
  <c r="AA647" i="3" s="1"/>
  <c r="P651" i="3"/>
  <c r="Q651" i="3"/>
  <c r="Q650" i="3" s="1"/>
  <c r="Q649" i="3" s="1"/>
  <c r="Q648" i="3" s="1"/>
  <c r="Q647" i="3" s="1"/>
  <c r="U651" i="3"/>
  <c r="U650" i="3" s="1"/>
  <c r="U649" i="3" s="1"/>
  <c r="U648" i="3" s="1"/>
  <c r="U647" i="3" s="1"/>
  <c r="V651" i="3"/>
  <c r="V650" i="3" s="1"/>
  <c r="V649" i="3" s="1"/>
  <c r="V648" i="3" s="1"/>
  <c r="V647" i="3" s="1"/>
  <c r="Y651" i="3"/>
  <c r="Y650" i="3" s="1"/>
  <c r="Y649" i="3" s="1"/>
  <c r="Y648" i="3" s="1"/>
  <c r="Y647" i="3" s="1"/>
  <c r="Z651" i="3"/>
  <c r="Z650" i="3" s="1"/>
  <c r="Z649" i="3" s="1"/>
  <c r="Z648" i="3" s="1"/>
  <c r="Z647" i="3" s="1"/>
  <c r="AB651" i="3"/>
  <c r="AB650" i="3" s="1"/>
  <c r="AB649" i="3" s="1"/>
  <c r="AB648" i="3" s="1"/>
  <c r="AB647" i="3" s="1"/>
  <c r="L658" i="3"/>
  <c r="M658" i="3"/>
  <c r="N658" i="3"/>
  <c r="O658" i="3"/>
  <c r="P658" i="3"/>
  <c r="Q658" i="3"/>
  <c r="R658" i="3"/>
  <c r="S658" i="3"/>
  <c r="T658" i="3"/>
  <c r="U658" i="3"/>
  <c r="V658" i="3"/>
  <c r="W658" i="3"/>
  <c r="X658" i="3"/>
  <c r="Y658" i="3"/>
  <c r="Z658" i="3"/>
  <c r="AA658" i="3"/>
  <c r="AB658" i="3"/>
  <c r="L660" i="3"/>
  <c r="M660" i="3"/>
  <c r="N660" i="3"/>
  <c r="O660" i="3"/>
  <c r="P660" i="3"/>
  <c r="Q660" i="3"/>
  <c r="R660" i="3"/>
  <c r="S660" i="3"/>
  <c r="T660" i="3"/>
  <c r="U660" i="3"/>
  <c r="V660" i="3"/>
  <c r="W660" i="3"/>
  <c r="X660" i="3"/>
  <c r="Y660" i="3"/>
  <c r="Z660" i="3"/>
  <c r="AA660" i="3"/>
  <c r="AB660" i="3"/>
  <c r="L662" i="3"/>
  <c r="M662" i="3"/>
  <c r="N662" i="3"/>
  <c r="O662" i="3"/>
  <c r="P662" i="3"/>
  <c r="Q662" i="3"/>
  <c r="R662" i="3"/>
  <c r="S662" i="3"/>
  <c r="T662" i="3"/>
  <c r="U662" i="3"/>
  <c r="V662" i="3"/>
  <c r="W662" i="3"/>
  <c r="X662" i="3"/>
  <c r="Y662" i="3"/>
  <c r="Z662" i="3"/>
  <c r="AA662" i="3"/>
  <c r="AB662" i="3"/>
  <c r="L665" i="3"/>
  <c r="L664" i="3" s="1"/>
  <c r="M665" i="3"/>
  <c r="M664" i="3" s="1"/>
  <c r="N665" i="3"/>
  <c r="N664" i="3" s="1"/>
  <c r="O665" i="3"/>
  <c r="O664" i="3" s="1"/>
  <c r="Q665" i="3"/>
  <c r="Q664" i="3" s="1"/>
  <c r="R665" i="3"/>
  <c r="R664" i="3" s="1"/>
  <c r="U665" i="3"/>
  <c r="U664" i="3" s="1"/>
  <c r="V665" i="3"/>
  <c r="V664" i="3" s="1"/>
  <c r="W665" i="3"/>
  <c r="W664" i="3" s="1"/>
  <c r="X665" i="3"/>
  <c r="X664" i="3" s="1"/>
  <c r="Y665" i="3"/>
  <c r="Y664" i="3" s="1"/>
  <c r="Z665" i="3"/>
  <c r="Z664" i="3" s="1"/>
  <c r="AA665" i="3"/>
  <c r="AA664" i="3" s="1"/>
  <c r="AB665" i="3"/>
  <c r="AB664" i="3" s="1"/>
  <c r="P666" i="3"/>
  <c r="S665" i="3"/>
  <c r="S664" i="3" s="1"/>
  <c r="L668" i="3"/>
  <c r="L667" i="3" s="1"/>
  <c r="M668" i="3"/>
  <c r="M667" i="3" s="1"/>
  <c r="O668" i="3"/>
  <c r="O667" i="3" s="1"/>
  <c r="R668" i="3"/>
  <c r="R667" i="3" s="1"/>
  <c r="S668" i="3"/>
  <c r="S667" i="3" s="1"/>
  <c r="W668" i="3"/>
  <c r="W667" i="3" s="1"/>
  <c r="X668" i="3"/>
  <c r="X667" i="3" s="1"/>
  <c r="AA668" i="3"/>
  <c r="AA667" i="3" s="1"/>
  <c r="N669" i="3"/>
  <c r="N668" i="3" s="1"/>
  <c r="N667" i="3" s="1"/>
  <c r="P669" i="3"/>
  <c r="Q669" i="3"/>
  <c r="Q668" i="3" s="1"/>
  <c r="Q667" i="3" s="1"/>
  <c r="U669" i="3"/>
  <c r="V669" i="3"/>
  <c r="V668" i="3" s="1"/>
  <c r="V667" i="3" s="1"/>
  <c r="Z669" i="3"/>
  <c r="N671" i="3"/>
  <c r="N670" i="3" s="1"/>
  <c r="O671" i="3"/>
  <c r="O670" i="3" s="1"/>
  <c r="Q671" i="3"/>
  <c r="Q670" i="3" s="1"/>
  <c r="R671" i="3"/>
  <c r="R670" i="3" s="1"/>
  <c r="S671" i="3"/>
  <c r="S670" i="3" s="1"/>
  <c r="U671" i="3"/>
  <c r="U670" i="3" s="1"/>
  <c r="V671" i="3"/>
  <c r="V670" i="3" s="1"/>
  <c r="W671" i="3"/>
  <c r="W670" i="3" s="1"/>
  <c r="X671" i="3"/>
  <c r="X670" i="3" s="1"/>
  <c r="Y671" i="3"/>
  <c r="Y670" i="3" s="1"/>
  <c r="Z671" i="3"/>
  <c r="Z670" i="3" s="1"/>
  <c r="AA671" i="3"/>
  <c r="AA670" i="3" s="1"/>
  <c r="AB671" i="3"/>
  <c r="AB670" i="3" s="1"/>
  <c r="P671" i="3"/>
  <c r="P670" i="3" s="1"/>
  <c r="L675" i="3"/>
  <c r="L674" i="3" s="1"/>
  <c r="L673" i="3" s="1"/>
  <c r="M675" i="3"/>
  <c r="M674" i="3" s="1"/>
  <c r="M673" i="3" s="1"/>
  <c r="L677" i="3"/>
  <c r="L676" i="3" s="1"/>
  <c r="M677" i="3"/>
  <c r="M676" i="3" s="1"/>
  <c r="N677" i="3"/>
  <c r="N676" i="3" s="1"/>
  <c r="N675" i="3" s="1"/>
  <c r="N674" i="3" s="1"/>
  <c r="O677" i="3"/>
  <c r="O676" i="3" s="1"/>
  <c r="O675" i="3" s="1"/>
  <c r="O674" i="3" s="1"/>
  <c r="P677" i="3"/>
  <c r="P676" i="3" s="1"/>
  <c r="Q677" i="3"/>
  <c r="Q676" i="3" s="1"/>
  <c r="R677" i="3"/>
  <c r="R676" i="3" s="1"/>
  <c r="S677" i="3"/>
  <c r="S676" i="3" s="1"/>
  <c r="T677" i="3"/>
  <c r="T676" i="3" s="1"/>
  <c r="U677" i="3"/>
  <c r="U676" i="3" s="1"/>
  <c r="V677" i="3"/>
  <c r="V676" i="3" s="1"/>
  <c r="W677" i="3"/>
  <c r="W676" i="3" s="1"/>
  <c r="X677" i="3"/>
  <c r="X676" i="3" s="1"/>
  <c r="Y677" i="3"/>
  <c r="Z677" i="3"/>
  <c r="Z676" i="3" s="1"/>
  <c r="AA677" i="3"/>
  <c r="AA676" i="3" s="1"/>
  <c r="AB677" i="3"/>
  <c r="AB676" i="3" s="1"/>
  <c r="L682" i="3"/>
  <c r="L681" i="3" s="1"/>
  <c r="M682" i="3"/>
  <c r="M681" i="3" s="1"/>
  <c r="N682" i="3"/>
  <c r="N681" i="3" s="1"/>
  <c r="O682" i="3"/>
  <c r="O681" i="3" s="1"/>
  <c r="P682" i="3"/>
  <c r="P681" i="3" s="1"/>
  <c r="Q682" i="3"/>
  <c r="Q681" i="3" s="1"/>
  <c r="R682" i="3"/>
  <c r="R681" i="3" s="1"/>
  <c r="S682" i="3"/>
  <c r="S681" i="3" s="1"/>
  <c r="U682" i="3"/>
  <c r="U681" i="3" s="1"/>
  <c r="V682" i="3"/>
  <c r="V681" i="3" s="1"/>
  <c r="W682" i="3"/>
  <c r="X682" i="3"/>
  <c r="X681" i="3" s="1"/>
  <c r="Y682" i="3"/>
  <c r="Y681" i="3" s="1"/>
  <c r="Z682" i="3"/>
  <c r="Z681" i="3" s="1"/>
  <c r="AA682" i="3"/>
  <c r="AB682" i="3"/>
  <c r="AB681" i="3" s="1"/>
  <c r="L691" i="3"/>
  <c r="L690" i="3" s="1"/>
  <c r="M691" i="3"/>
  <c r="M690" i="3" s="1"/>
  <c r="N691" i="3"/>
  <c r="N690" i="3" s="1"/>
  <c r="O691" i="3"/>
  <c r="O690" i="3" s="1"/>
  <c r="P691" i="3"/>
  <c r="P690" i="3" s="1"/>
  <c r="Q691" i="3"/>
  <c r="Q690" i="3" s="1"/>
  <c r="R691" i="3"/>
  <c r="R690" i="3" s="1"/>
  <c r="S691" i="3"/>
  <c r="S690" i="3" s="1"/>
  <c r="T691" i="3"/>
  <c r="T690" i="3" s="1"/>
  <c r="U691" i="3"/>
  <c r="U690" i="3" s="1"/>
  <c r="V691" i="3"/>
  <c r="V690" i="3" s="1"/>
  <c r="W691" i="3"/>
  <c r="W690" i="3" s="1"/>
  <c r="X691" i="3"/>
  <c r="X690" i="3" s="1"/>
  <c r="Y691" i="3"/>
  <c r="Y690" i="3" s="1"/>
  <c r="Z691" i="3"/>
  <c r="Z690" i="3" s="1"/>
  <c r="AA691" i="3"/>
  <c r="AA690" i="3" s="1"/>
  <c r="AB691" i="3"/>
  <c r="AB690" i="3" s="1"/>
  <c r="L694" i="3"/>
  <c r="L693" i="3" s="1"/>
  <c r="M694" i="3"/>
  <c r="M693" i="3" s="1"/>
  <c r="N694" i="3"/>
  <c r="N693" i="3" s="1"/>
  <c r="O694" i="3"/>
  <c r="O693" i="3" s="1"/>
  <c r="P694" i="3"/>
  <c r="P693" i="3" s="1"/>
  <c r="Q694" i="3"/>
  <c r="Q693" i="3" s="1"/>
  <c r="R694" i="3"/>
  <c r="R693" i="3" s="1"/>
  <c r="S694" i="3"/>
  <c r="S693" i="3" s="1"/>
  <c r="T694" i="3"/>
  <c r="T693" i="3" s="1"/>
  <c r="U694" i="3"/>
  <c r="U693" i="3" s="1"/>
  <c r="V694" i="3"/>
  <c r="V693" i="3" s="1"/>
  <c r="W694" i="3"/>
  <c r="W693" i="3" s="1"/>
  <c r="X694" i="3"/>
  <c r="X693" i="3" s="1"/>
  <c r="Y694" i="3"/>
  <c r="Y693" i="3" s="1"/>
  <c r="Z694" i="3"/>
  <c r="Z693" i="3" s="1"/>
  <c r="AA694" i="3"/>
  <c r="AA693" i="3" s="1"/>
  <c r="AB694" i="3"/>
  <c r="AB693" i="3" s="1"/>
  <c r="L700" i="3"/>
  <c r="L699" i="3" s="1"/>
  <c r="M700" i="3"/>
  <c r="M699" i="3" s="1"/>
  <c r="N700" i="3"/>
  <c r="N699" i="3" s="1"/>
  <c r="O700" i="3"/>
  <c r="O699" i="3" s="1"/>
  <c r="P700" i="3"/>
  <c r="P699" i="3" s="1"/>
  <c r="Q700" i="3"/>
  <c r="Q699" i="3" s="1"/>
  <c r="R700" i="3"/>
  <c r="R699" i="3" s="1"/>
  <c r="S700" i="3"/>
  <c r="S699" i="3" s="1"/>
  <c r="T700" i="3"/>
  <c r="T699" i="3" s="1"/>
  <c r="U700" i="3"/>
  <c r="U699" i="3" s="1"/>
  <c r="V700" i="3"/>
  <c r="V699" i="3" s="1"/>
  <c r="W700" i="3"/>
  <c r="W699" i="3" s="1"/>
  <c r="X700" i="3"/>
  <c r="X699" i="3" s="1"/>
  <c r="Y700" i="3"/>
  <c r="Y699" i="3" s="1"/>
  <c r="Z700" i="3"/>
  <c r="Z699" i="3" s="1"/>
  <c r="AA700" i="3"/>
  <c r="AA699" i="3" s="1"/>
  <c r="AB700" i="3"/>
  <c r="AB699" i="3" s="1"/>
  <c r="L705" i="3"/>
  <c r="L704" i="3" s="1"/>
  <c r="L703" i="3" s="1"/>
  <c r="L702" i="3" s="1"/>
  <c r="M705" i="3"/>
  <c r="M704" i="3" s="1"/>
  <c r="M703" i="3" s="1"/>
  <c r="M702" i="3" s="1"/>
  <c r="N705" i="3"/>
  <c r="N704" i="3" s="1"/>
  <c r="N703" i="3" s="1"/>
  <c r="N702" i="3" s="1"/>
  <c r="O705" i="3"/>
  <c r="O704" i="3" s="1"/>
  <c r="O703" i="3" s="1"/>
  <c r="O702" i="3" s="1"/>
  <c r="P705" i="3"/>
  <c r="Q705" i="3"/>
  <c r="R705" i="3"/>
  <c r="S705" i="3"/>
  <c r="U705" i="3"/>
  <c r="V705" i="3"/>
  <c r="W705" i="3"/>
  <c r="X705" i="3"/>
  <c r="Y705" i="3"/>
  <c r="Z705" i="3"/>
  <c r="AA705" i="3"/>
  <c r="AB705" i="3"/>
  <c r="L706" i="3"/>
  <c r="M706" i="3"/>
  <c r="N706" i="3"/>
  <c r="O706" i="3"/>
  <c r="P706" i="3"/>
  <c r="T705" i="3" s="1"/>
  <c r="Q706" i="3"/>
  <c r="R706" i="3"/>
  <c r="S706" i="3"/>
  <c r="T706" i="3"/>
  <c r="U706" i="3"/>
  <c r="V706" i="3"/>
  <c r="W706" i="3"/>
  <c r="X706" i="3"/>
  <c r="Y706" i="3"/>
  <c r="Z706" i="3"/>
  <c r="AA706" i="3"/>
  <c r="AB706" i="3"/>
  <c r="L716" i="3"/>
  <c r="L715" i="3" s="1"/>
  <c r="M716" i="3"/>
  <c r="M715" i="3" s="1"/>
  <c r="N716" i="3"/>
  <c r="N715" i="3" s="1"/>
  <c r="O716" i="3"/>
  <c r="O715" i="3" s="1"/>
  <c r="P716" i="3"/>
  <c r="P715" i="3" s="1"/>
  <c r="Q716" i="3"/>
  <c r="Q715" i="3" s="1"/>
  <c r="R716" i="3"/>
  <c r="R715" i="3" s="1"/>
  <c r="S716" i="3"/>
  <c r="S715" i="3" s="1"/>
  <c r="T716" i="3"/>
  <c r="T715" i="3" s="1"/>
  <c r="U716" i="3"/>
  <c r="U715" i="3" s="1"/>
  <c r="V716" i="3"/>
  <c r="V715" i="3" s="1"/>
  <c r="W716" i="3"/>
  <c r="W715" i="3" s="1"/>
  <c r="X716" i="3"/>
  <c r="X715" i="3" s="1"/>
  <c r="Y716" i="3"/>
  <c r="Y715" i="3" s="1"/>
  <c r="Z716" i="3"/>
  <c r="Z715" i="3" s="1"/>
  <c r="AA716" i="3"/>
  <c r="AA715" i="3" s="1"/>
  <c r="AB716" i="3"/>
  <c r="AB715" i="3" s="1"/>
  <c r="M719" i="3"/>
  <c r="M718" i="3" s="1"/>
  <c r="N719" i="3"/>
  <c r="N718" i="3" s="1"/>
  <c r="O719" i="3"/>
  <c r="O718" i="3" s="1"/>
  <c r="P719" i="3"/>
  <c r="P718" i="3" s="1"/>
  <c r="Q719" i="3"/>
  <c r="Q718" i="3" s="1"/>
  <c r="R719" i="3"/>
  <c r="R718" i="3" s="1"/>
  <c r="S719" i="3"/>
  <c r="S718" i="3" s="1"/>
  <c r="T719" i="3"/>
  <c r="T718" i="3" s="1"/>
  <c r="U719" i="3"/>
  <c r="U718" i="3" s="1"/>
  <c r="V719" i="3"/>
  <c r="V718" i="3" s="1"/>
  <c r="W719" i="3"/>
  <c r="W718" i="3" s="1"/>
  <c r="X719" i="3"/>
  <c r="X718" i="3" s="1"/>
  <c r="Y719" i="3"/>
  <c r="Y718" i="3" s="1"/>
  <c r="Z719" i="3"/>
  <c r="Z718" i="3" s="1"/>
  <c r="AA719" i="3"/>
  <c r="AA718" i="3" s="1"/>
  <c r="AB719" i="3"/>
  <c r="AB718" i="3" s="1"/>
  <c r="L720" i="3"/>
  <c r="L719" i="3" s="1"/>
  <c r="L718" i="3" s="1"/>
  <c r="L722" i="3"/>
  <c r="L721" i="3" s="1"/>
  <c r="M722" i="3"/>
  <c r="M721" i="3" s="1"/>
  <c r="N722" i="3"/>
  <c r="N721" i="3" s="1"/>
  <c r="O722" i="3"/>
  <c r="O721" i="3" s="1"/>
  <c r="P722" i="3"/>
  <c r="P721" i="3" s="1"/>
  <c r="Q722" i="3"/>
  <c r="Q721" i="3" s="1"/>
  <c r="R722" i="3"/>
  <c r="R721" i="3" s="1"/>
  <c r="S722" i="3"/>
  <c r="S721" i="3" s="1"/>
  <c r="U722" i="3"/>
  <c r="U721" i="3" s="1"/>
  <c r="V722" i="3"/>
  <c r="V721" i="3" s="1"/>
  <c r="W722" i="3"/>
  <c r="W721" i="3" s="1"/>
  <c r="X722" i="3"/>
  <c r="X721" i="3" s="1"/>
  <c r="Y722" i="3"/>
  <c r="Y721" i="3" s="1"/>
  <c r="Z722" i="3"/>
  <c r="Z721" i="3" s="1"/>
  <c r="AA722" i="3"/>
  <c r="AA721" i="3" s="1"/>
  <c r="AB722" i="3"/>
  <c r="AB721" i="3" s="1"/>
  <c r="M725" i="3"/>
  <c r="M724" i="3" s="1"/>
  <c r="N725" i="3"/>
  <c r="N724" i="3" s="1"/>
  <c r="O725" i="3"/>
  <c r="O724" i="3" s="1"/>
  <c r="P725" i="3"/>
  <c r="P714" i="3" s="1"/>
  <c r="Q725" i="3"/>
  <c r="R725" i="3"/>
  <c r="S725" i="3"/>
  <c r="S714" i="3" s="1"/>
  <c r="U725" i="3"/>
  <c r="U714" i="3" s="1"/>
  <c r="V725" i="3"/>
  <c r="V714" i="3" s="1"/>
  <c r="W725" i="3"/>
  <c r="W714" i="3" s="1"/>
  <c r="X725" i="3"/>
  <c r="X714" i="3" s="1"/>
  <c r="Y725" i="3"/>
  <c r="Y714" i="3" s="1"/>
  <c r="Z725" i="3"/>
  <c r="Z714" i="3" s="1"/>
  <c r="AA725" i="3"/>
  <c r="AA714" i="3" s="1"/>
  <c r="AB725" i="3"/>
  <c r="AB714" i="3" s="1"/>
  <c r="L726" i="3"/>
  <c r="L725" i="3" s="1"/>
  <c r="L724" i="3" s="1"/>
  <c r="T725" i="3"/>
  <c r="M728" i="3"/>
  <c r="M727" i="3" s="1"/>
  <c r="N728" i="3"/>
  <c r="N727" i="3" s="1"/>
  <c r="O728" i="3"/>
  <c r="O727" i="3" s="1"/>
  <c r="P728" i="3"/>
  <c r="P727" i="3" s="1"/>
  <c r="Q728" i="3"/>
  <c r="Q727" i="3" s="1"/>
  <c r="R728" i="3"/>
  <c r="R727" i="3" s="1"/>
  <c r="S728" i="3"/>
  <c r="S727" i="3" s="1"/>
  <c r="T728" i="3"/>
  <c r="T727" i="3" s="1"/>
  <c r="U728" i="3"/>
  <c r="U727" i="3" s="1"/>
  <c r="V728" i="3"/>
  <c r="V727" i="3" s="1"/>
  <c r="W728" i="3"/>
  <c r="W727" i="3" s="1"/>
  <c r="X728" i="3"/>
  <c r="X727" i="3" s="1"/>
  <c r="Y728" i="3"/>
  <c r="Y727" i="3" s="1"/>
  <c r="Z728" i="3"/>
  <c r="Z727" i="3" s="1"/>
  <c r="AA728" i="3"/>
  <c r="AA727" i="3" s="1"/>
  <c r="AB728" i="3"/>
  <c r="AB727" i="3" s="1"/>
  <c r="L729" i="3"/>
  <c r="L728" i="3" s="1"/>
  <c r="L727" i="3" s="1"/>
  <c r="O731" i="3"/>
  <c r="O730" i="3" s="1"/>
  <c r="Q731" i="3"/>
  <c r="Q730" i="3" s="1"/>
  <c r="R731" i="3"/>
  <c r="R730" i="3" s="1"/>
  <c r="S731" i="3"/>
  <c r="S730" i="3" s="1"/>
  <c r="U731" i="3"/>
  <c r="U730" i="3" s="1"/>
  <c r="V731" i="3"/>
  <c r="V730" i="3" s="1"/>
  <c r="W731" i="3"/>
  <c r="W730" i="3" s="1"/>
  <c r="X731" i="3"/>
  <c r="X730" i="3" s="1"/>
  <c r="Y731" i="3"/>
  <c r="Y730" i="3" s="1"/>
  <c r="Z731" i="3"/>
  <c r="Z730" i="3" s="1"/>
  <c r="AA731" i="3"/>
  <c r="AA730" i="3" s="1"/>
  <c r="AB731" i="3"/>
  <c r="AB730" i="3" s="1"/>
  <c r="N732" i="3"/>
  <c r="N731" i="3" s="1"/>
  <c r="N730" i="3" s="1"/>
  <c r="P731" i="3"/>
  <c r="L737" i="3"/>
  <c r="L736" i="3" s="1"/>
  <c r="M737" i="3"/>
  <c r="M736" i="3" s="1"/>
  <c r="N737" i="3"/>
  <c r="N736" i="3" s="1"/>
  <c r="O737" i="3"/>
  <c r="O736" i="3" s="1"/>
  <c r="P737" i="3"/>
  <c r="P736" i="3" s="1"/>
  <c r="Q737" i="3"/>
  <c r="Q736" i="3" s="1"/>
  <c r="R737" i="3"/>
  <c r="R736" i="3" s="1"/>
  <c r="U737" i="3"/>
  <c r="U736" i="3" s="1"/>
  <c r="V737" i="3"/>
  <c r="V736" i="3" s="1"/>
  <c r="X737" i="3"/>
  <c r="X736" i="3" s="1"/>
  <c r="Y737" i="3"/>
  <c r="Y736" i="3" s="1"/>
  <c r="Z737" i="3"/>
  <c r="Z736" i="3" s="1"/>
  <c r="AA737" i="3"/>
  <c r="AA736" i="3" s="1"/>
  <c r="AB737" i="3"/>
  <c r="AB736" i="3" s="1"/>
  <c r="S737" i="3"/>
  <c r="S736" i="3" s="1"/>
  <c r="L740" i="3"/>
  <c r="L739" i="3" s="1"/>
  <c r="M740" i="3"/>
  <c r="M739" i="3" s="1"/>
  <c r="N740" i="3"/>
  <c r="N739" i="3" s="1"/>
  <c r="O740" i="3"/>
  <c r="O739" i="3" s="1"/>
  <c r="P740" i="3"/>
  <c r="P739" i="3" s="1"/>
  <c r="Q740" i="3"/>
  <c r="Q739" i="3" s="1"/>
  <c r="R740" i="3"/>
  <c r="R739" i="3" s="1"/>
  <c r="U740" i="3"/>
  <c r="U739" i="3" s="1"/>
  <c r="V740" i="3"/>
  <c r="V739" i="3" s="1"/>
  <c r="W740" i="3"/>
  <c r="W739" i="3" s="1"/>
  <c r="X740" i="3"/>
  <c r="X739" i="3" s="1"/>
  <c r="Y740" i="3"/>
  <c r="Y739" i="3" s="1"/>
  <c r="Z740" i="3"/>
  <c r="Z739" i="3" s="1"/>
  <c r="AA740" i="3"/>
  <c r="AA739" i="3" s="1"/>
  <c r="AB740" i="3"/>
  <c r="AB739" i="3" s="1"/>
  <c r="S740" i="3"/>
  <c r="S739" i="3" s="1"/>
  <c r="L747" i="3"/>
  <c r="L746" i="3" s="1"/>
  <c r="M747" i="3"/>
  <c r="M746" i="3" s="1"/>
  <c r="N747" i="3"/>
  <c r="N746" i="3" s="1"/>
  <c r="O747" i="3"/>
  <c r="O746" i="3" s="1"/>
  <c r="Q747" i="3"/>
  <c r="Q746" i="3" s="1"/>
  <c r="R747" i="3"/>
  <c r="R746" i="3" s="1"/>
  <c r="S747" i="3"/>
  <c r="S746" i="3" s="1"/>
  <c r="U747" i="3"/>
  <c r="U746" i="3" s="1"/>
  <c r="V747" i="3"/>
  <c r="V746" i="3" s="1"/>
  <c r="W747" i="3"/>
  <c r="W746" i="3" s="1"/>
  <c r="X747" i="3"/>
  <c r="X746" i="3" s="1"/>
  <c r="Y747" i="3"/>
  <c r="Y746" i="3" s="1"/>
  <c r="Z747" i="3"/>
  <c r="Z746" i="3" s="1"/>
  <c r="AA747" i="3"/>
  <c r="AA746" i="3" s="1"/>
  <c r="AB747" i="3"/>
  <c r="AB746" i="3" s="1"/>
  <c r="T748" i="3"/>
  <c r="T747" i="3" s="1"/>
  <c r="T746" i="3" s="1"/>
  <c r="L750" i="3"/>
  <c r="L749" i="3" s="1"/>
  <c r="M750" i="3"/>
  <c r="M749" i="3" s="1"/>
  <c r="N750" i="3"/>
  <c r="N749" i="3" s="1"/>
  <c r="O750" i="3"/>
  <c r="O749" i="3" s="1"/>
  <c r="P750" i="3"/>
  <c r="P749" i="3" s="1"/>
  <c r="Q750" i="3"/>
  <c r="Q749" i="3" s="1"/>
  <c r="R750" i="3"/>
  <c r="R749" i="3" s="1"/>
  <c r="S750" i="3"/>
  <c r="S749" i="3" s="1"/>
  <c r="U750" i="3"/>
  <c r="U749" i="3" s="1"/>
  <c r="V750" i="3"/>
  <c r="V749" i="3" s="1"/>
  <c r="W750" i="3"/>
  <c r="W749" i="3" s="1"/>
  <c r="X750" i="3"/>
  <c r="X749" i="3" s="1"/>
  <c r="Y750" i="3"/>
  <c r="Y749" i="3" s="1"/>
  <c r="Z750" i="3"/>
  <c r="Z749" i="3" s="1"/>
  <c r="AA750" i="3"/>
  <c r="AA749" i="3" s="1"/>
  <c r="AB750" i="3"/>
  <c r="AB749" i="3" s="1"/>
  <c r="T751" i="3"/>
  <c r="T750" i="3" s="1"/>
  <c r="T749" i="3" s="1"/>
  <c r="L753" i="3"/>
  <c r="L752" i="3" s="1"/>
  <c r="M753" i="3"/>
  <c r="M752" i="3" s="1"/>
  <c r="N753" i="3"/>
  <c r="N752" i="3" s="1"/>
  <c r="O753" i="3"/>
  <c r="O752" i="3" s="1"/>
  <c r="P753" i="3"/>
  <c r="P752" i="3" s="1"/>
  <c r="Q753" i="3"/>
  <c r="Q752" i="3" s="1"/>
  <c r="R753" i="3"/>
  <c r="R752" i="3" s="1"/>
  <c r="S753" i="3"/>
  <c r="S752" i="3" s="1"/>
  <c r="T753" i="3"/>
  <c r="T752" i="3" s="1"/>
  <c r="U753" i="3"/>
  <c r="U752" i="3" s="1"/>
  <c r="V753" i="3"/>
  <c r="V752" i="3" s="1"/>
  <c r="W753" i="3"/>
  <c r="W752" i="3" s="1"/>
  <c r="X753" i="3"/>
  <c r="X752" i="3" s="1"/>
  <c r="Y753" i="3"/>
  <c r="Y752" i="3" s="1"/>
  <c r="Z753" i="3"/>
  <c r="Z752" i="3" s="1"/>
  <c r="AA753" i="3"/>
  <c r="AA752" i="3" s="1"/>
  <c r="AB753" i="3"/>
  <c r="AB752" i="3" s="1"/>
  <c r="M756" i="3"/>
  <c r="M755" i="3" s="1"/>
  <c r="S756" i="3"/>
  <c r="S755" i="3" s="1"/>
  <c r="X756" i="3"/>
  <c r="X755" i="3" s="1"/>
  <c r="AA756" i="3"/>
  <c r="AA755" i="3" s="1"/>
  <c r="L757" i="3"/>
  <c r="L756" i="3" s="1"/>
  <c r="L755" i="3" s="1"/>
  <c r="N757" i="3"/>
  <c r="N756" i="3" s="1"/>
  <c r="N755" i="3" s="1"/>
  <c r="O757" i="3"/>
  <c r="O756" i="3" s="1"/>
  <c r="O755" i="3" s="1"/>
  <c r="Q757" i="3"/>
  <c r="Q756" i="3" s="1"/>
  <c r="Q755" i="3" s="1"/>
  <c r="R757" i="3"/>
  <c r="R756" i="3" s="1"/>
  <c r="R755" i="3" s="1"/>
  <c r="V757" i="3"/>
  <c r="V756" i="3" s="1"/>
  <c r="V755" i="3" s="1"/>
  <c r="W757" i="3"/>
  <c r="W756" i="3" s="1"/>
  <c r="W755" i="3" s="1"/>
  <c r="S759" i="3"/>
  <c r="S758" i="3" s="1"/>
  <c r="X759" i="3"/>
  <c r="X758" i="3" s="1"/>
  <c r="Y759" i="3"/>
  <c r="Y758" i="3" s="1"/>
  <c r="AA759" i="3"/>
  <c r="AA758" i="3" s="1"/>
  <c r="AB759" i="3"/>
  <c r="AB758" i="3" s="1"/>
  <c r="N760" i="3"/>
  <c r="N759" i="3" s="1"/>
  <c r="N758" i="3" s="1"/>
  <c r="O760" i="3"/>
  <c r="O759" i="3" s="1"/>
  <c r="O758" i="3" s="1"/>
  <c r="Q760" i="3"/>
  <c r="Q759" i="3" s="1"/>
  <c r="Q758" i="3" s="1"/>
  <c r="R760" i="3"/>
  <c r="R759" i="3" s="1"/>
  <c r="R758" i="3" s="1"/>
  <c r="V760" i="3"/>
  <c r="V759" i="3" s="1"/>
  <c r="V758" i="3" s="1"/>
  <c r="W760" i="3"/>
  <c r="W759" i="3" s="1"/>
  <c r="W758" i="3" s="1"/>
  <c r="L762" i="3"/>
  <c r="L761" i="3" s="1"/>
  <c r="M762" i="3"/>
  <c r="M761" i="3" s="1"/>
  <c r="N762" i="3"/>
  <c r="N761" i="3" s="1"/>
  <c r="O762" i="3"/>
  <c r="O761" i="3" s="1"/>
  <c r="P762" i="3"/>
  <c r="P761" i="3" s="1"/>
  <c r="Q762" i="3"/>
  <c r="Q761" i="3" s="1"/>
  <c r="R762" i="3"/>
  <c r="R761" i="3" s="1"/>
  <c r="U762" i="3"/>
  <c r="U761" i="3" s="1"/>
  <c r="V762" i="3"/>
  <c r="V761" i="3" s="1"/>
  <c r="W762" i="3"/>
  <c r="W761" i="3" s="1"/>
  <c r="X762" i="3"/>
  <c r="X761" i="3" s="1"/>
  <c r="Y762" i="3"/>
  <c r="Y761" i="3" s="1"/>
  <c r="Z762" i="3"/>
  <c r="Z761" i="3" s="1"/>
  <c r="AA762" i="3"/>
  <c r="AA761" i="3" s="1"/>
  <c r="AB762" i="3"/>
  <c r="AB761" i="3" s="1"/>
  <c r="S762" i="3"/>
  <c r="S761" i="3" s="1"/>
  <c r="L765" i="3"/>
  <c r="L764" i="3" s="1"/>
  <c r="M765" i="3"/>
  <c r="M764" i="3" s="1"/>
  <c r="N765" i="3"/>
  <c r="N764" i="3" s="1"/>
  <c r="O765" i="3"/>
  <c r="O764" i="3" s="1"/>
  <c r="P765" i="3"/>
  <c r="P764" i="3" s="1"/>
  <c r="Q765" i="3"/>
  <c r="Q764" i="3" s="1"/>
  <c r="R765" i="3"/>
  <c r="R764" i="3" s="1"/>
  <c r="U765" i="3"/>
  <c r="U764" i="3" s="1"/>
  <c r="V765" i="3"/>
  <c r="V764" i="3" s="1"/>
  <c r="W765" i="3"/>
  <c r="W764" i="3" s="1"/>
  <c r="X765" i="3"/>
  <c r="X764" i="3" s="1"/>
  <c r="Y765" i="3"/>
  <c r="Y764" i="3" s="1"/>
  <c r="Z765" i="3"/>
  <c r="Z764" i="3" s="1"/>
  <c r="AA765" i="3"/>
  <c r="AA764" i="3" s="1"/>
  <c r="AB765" i="3"/>
  <c r="AB764" i="3" s="1"/>
  <c r="S765" i="3"/>
  <c r="S764" i="3" s="1"/>
  <c r="L775" i="3"/>
  <c r="M775" i="3"/>
  <c r="N775" i="3"/>
  <c r="O775" i="3"/>
  <c r="P775" i="3"/>
  <c r="Q775" i="3"/>
  <c r="R775" i="3"/>
  <c r="S775" i="3"/>
  <c r="T775" i="3"/>
  <c r="U775" i="3"/>
  <c r="V775" i="3"/>
  <c r="W775" i="3"/>
  <c r="X775" i="3"/>
  <c r="Y775" i="3"/>
  <c r="Z775" i="3"/>
  <c r="AA775" i="3"/>
  <c r="AB775" i="3"/>
  <c r="L777" i="3"/>
  <c r="M777" i="3"/>
  <c r="N777" i="3"/>
  <c r="O777" i="3"/>
  <c r="P777" i="3"/>
  <c r="Q777" i="3"/>
  <c r="R777" i="3"/>
  <c r="S777" i="3"/>
  <c r="T777" i="3"/>
  <c r="U777" i="3"/>
  <c r="V777" i="3"/>
  <c r="W777" i="3"/>
  <c r="X777" i="3"/>
  <c r="Y777" i="3"/>
  <c r="Z777" i="3"/>
  <c r="AA777" i="3"/>
  <c r="AB777" i="3"/>
  <c r="L788" i="3"/>
  <c r="L786" i="3" s="1"/>
  <c r="N788" i="3"/>
  <c r="N786" i="3" s="1"/>
  <c r="O788" i="3"/>
  <c r="O786" i="3" s="1"/>
  <c r="P788" i="3"/>
  <c r="P786" i="3" s="1"/>
  <c r="Q788" i="3"/>
  <c r="Q786" i="3" s="1"/>
  <c r="R788" i="3"/>
  <c r="R786" i="3" s="1"/>
  <c r="S788" i="3"/>
  <c r="S786" i="3" s="1"/>
  <c r="T788" i="3"/>
  <c r="T786" i="3" s="1"/>
  <c r="U788" i="3"/>
  <c r="U786" i="3" s="1"/>
  <c r="V788" i="3"/>
  <c r="V786" i="3" s="1"/>
  <c r="W788" i="3"/>
  <c r="W786" i="3" s="1"/>
  <c r="X788" i="3"/>
  <c r="X786" i="3" s="1"/>
  <c r="Y788" i="3"/>
  <c r="Y786" i="3" s="1"/>
  <c r="Z788" i="3"/>
  <c r="Z786" i="3" s="1"/>
  <c r="AA788" i="3"/>
  <c r="AA786" i="3" s="1"/>
  <c r="AB788" i="3"/>
  <c r="AB786" i="3" s="1"/>
  <c r="M789" i="3"/>
  <c r="M788" i="3" s="1"/>
  <c r="L792" i="3"/>
  <c r="N792" i="3"/>
  <c r="O792" i="3"/>
  <c r="P792" i="3"/>
  <c r="Q792" i="3"/>
  <c r="R792" i="3"/>
  <c r="S792" i="3"/>
  <c r="T792" i="3"/>
  <c r="U792" i="3"/>
  <c r="V792" i="3"/>
  <c r="W792" i="3"/>
  <c r="X792" i="3"/>
  <c r="Y792" i="3"/>
  <c r="Z792" i="3"/>
  <c r="AA792" i="3"/>
  <c r="AB792" i="3"/>
  <c r="M793" i="3"/>
  <c r="M792" i="3" s="1"/>
  <c r="L794" i="3"/>
  <c r="M794" i="3"/>
  <c r="N794" i="3"/>
  <c r="O794" i="3"/>
  <c r="P794" i="3"/>
  <c r="Q794" i="3"/>
  <c r="R794" i="3"/>
  <c r="S794" i="3"/>
  <c r="T794" i="3"/>
  <c r="U794" i="3"/>
  <c r="V794" i="3"/>
  <c r="W794" i="3"/>
  <c r="X794" i="3"/>
  <c r="Y794" i="3"/>
  <c r="Z794" i="3"/>
  <c r="AA794" i="3"/>
  <c r="AB794" i="3"/>
  <c r="M797" i="3"/>
  <c r="Q797" i="3"/>
  <c r="R797" i="3"/>
  <c r="U797" i="3"/>
  <c r="V797" i="3"/>
  <c r="W797" i="3"/>
  <c r="X797" i="3"/>
  <c r="Y797" i="3"/>
  <c r="Z797" i="3"/>
  <c r="AA797" i="3"/>
  <c r="AB797" i="3"/>
  <c r="L798" i="3"/>
  <c r="L797" i="3" s="1"/>
  <c r="S798" i="3"/>
  <c r="S797" i="3" s="1"/>
  <c r="L799" i="3"/>
  <c r="M799" i="3"/>
  <c r="M796" i="3" s="1"/>
  <c r="N799" i="3"/>
  <c r="O799" i="3"/>
  <c r="P799" i="3"/>
  <c r="Q799" i="3"/>
  <c r="R799" i="3"/>
  <c r="S799" i="3"/>
  <c r="T799" i="3"/>
  <c r="U799" i="3"/>
  <c r="V799" i="3"/>
  <c r="W799" i="3"/>
  <c r="X799" i="3"/>
  <c r="Y799" i="3"/>
  <c r="Z799" i="3"/>
  <c r="AA799" i="3"/>
  <c r="AB799" i="3"/>
  <c r="O806" i="3"/>
  <c r="R806" i="3"/>
  <c r="S806" i="3"/>
  <c r="T806" i="3"/>
  <c r="W806" i="3"/>
  <c r="X806" i="3"/>
  <c r="Y806" i="3"/>
  <c r="AA806" i="3"/>
  <c r="N807" i="3"/>
  <c r="N806" i="3" s="1"/>
  <c r="Q807" i="3"/>
  <c r="Q806" i="3" s="1"/>
  <c r="V807" i="3"/>
  <c r="V806" i="3" s="1"/>
  <c r="AB807" i="3"/>
  <c r="AB806" i="3" s="1"/>
  <c r="N808" i="3"/>
  <c r="O808" i="3"/>
  <c r="P808" i="3"/>
  <c r="Q808" i="3"/>
  <c r="R808" i="3"/>
  <c r="S808" i="3"/>
  <c r="T808" i="3"/>
  <c r="U808" i="3"/>
  <c r="V808" i="3"/>
  <c r="W808" i="3"/>
  <c r="X808" i="3"/>
  <c r="Y808" i="3"/>
  <c r="Z808" i="3"/>
  <c r="AA808" i="3"/>
  <c r="AB808" i="3"/>
  <c r="L819" i="3"/>
  <c r="L818" i="3" s="1"/>
  <c r="L817" i="3" s="1"/>
  <c r="L816" i="3" s="1"/>
  <c r="L815" i="3" s="1"/>
  <c r="M819" i="3"/>
  <c r="M818" i="3" s="1"/>
  <c r="M817" i="3" s="1"/>
  <c r="M816" i="3" s="1"/>
  <c r="M815" i="3" s="1"/>
  <c r="N819" i="3"/>
  <c r="O819" i="3"/>
  <c r="P819" i="3"/>
  <c r="Q819" i="3"/>
  <c r="R819" i="3"/>
  <c r="S819" i="3"/>
  <c r="T819" i="3"/>
  <c r="V819" i="3"/>
  <c r="W819" i="3"/>
  <c r="X819" i="3"/>
  <c r="Y819" i="3"/>
  <c r="AA819" i="3"/>
  <c r="U820" i="3"/>
  <c r="U819" i="3" s="1"/>
  <c r="Z820" i="3"/>
  <c r="Z819" i="3" s="1"/>
  <c r="AB820" i="3"/>
  <c r="AB819" i="3" s="1"/>
  <c r="N821" i="3"/>
  <c r="O821" i="3"/>
  <c r="Q821" i="3"/>
  <c r="R821" i="3"/>
  <c r="S821" i="3"/>
  <c r="V821" i="3"/>
  <c r="W821" i="3"/>
  <c r="X821" i="3"/>
  <c r="Y821" i="3"/>
  <c r="AA821" i="3"/>
  <c r="AB821" i="3"/>
  <c r="P822" i="3"/>
  <c r="U822" i="3"/>
  <c r="U821" i="3" s="1"/>
  <c r="Z822" i="3"/>
  <c r="Z821" i="3" s="1"/>
  <c r="L827" i="3"/>
  <c r="L826" i="3" s="1"/>
  <c r="L825" i="3" s="1"/>
  <c r="L824" i="3" s="1"/>
  <c r="M827" i="3"/>
  <c r="M826" i="3" s="1"/>
  <c r="M825" i="3" s="1"/>
  <c r="M824" i="3" s="1"/>
  <c r="N827" i="3"/>
  <c r="N826" i="3" s="1"/>
  <c r="N825" i="3" s="1"/>
  <c r="N824" i="3" s="1"/>
  <c r="O827" i="3"/>
  <c r="O826" i="3" s="1"/>
  <c r="O825" i="3" s="1"/>
  <c r="O824" i="3" s="1"/>
  <c r="P827" i="3"/>
  <c r="P826" i="3" s="1"/>
  <c r="Q827" i="3"/>
  <c r="Q826" i="3" s="1"/>
  <c r="R827" i="3"/>
  <c r="R826" i="3" s="1"/>
  <c r="S827" i="3"/>
  <c r="S826" i="3" s="1"/>
  <c r="T827" i="3"/>
  <c r="T826" i="3" s="1"/>
  <c r="U827" i="3"/>
  <c r="U826" i="3" s="1"/>
  <c r="V827" i="3"/>
  <c r="V826" i="3" s="1"/>
  <c r="W827" i="3"/>
  <c r="W826" i="3" s="1"/>
  <c r="X827" i="3"/>
  <c r="X826" i="3" s="1"/>
  <c r="Y827" i="3"/>
  <c r="Y826" i="3" s="1"/>
  <c r="Z827" i="3"/>
  <c r="Z826" i="3" s="1"/>
  <c r="AA827" i="3"/>
  <c r="AA826" i="3" s="1"/>
  <c r="AB827" i="3"/>
  <c r="AB826" i="3" s="1"/>
  <c r="L836" i="3"/>
  <c r="L835" i="3" s="1"/>
  <c r="M836" i="3"/>
  <c r="M835" i="3" s="1"/>
  <c r="O836" i="3"/>
  <c r="O835" i="3" s="1"/>
  <c r="O834" i="3" s="1"/>
  <c r="O833" i="3" s="1"/>
  <c r="O832" i="3" s="1"/>
  <c r="R836" i="3"/>
  <c r="R835" i="3" s="1"/>
  <c r="S836" i="3"/>
  <c r="S835" i="3" s="1"/>
  <c r="W836" i="3"/>
  <c r="W835" i="3" s="1"/>
  <c r="X836" i="3"/>
  <c r="X835" i="3" s="1"/>
  <c r="AA836" i="3"/>
  <c r="AA835" i="3" s="1"/>
  <c r="N837" i="3"/>
  <c r="N836" i="3" s="1"/>
  <c r="N835" i="3" s="1"/>
  <c r="N834" i="3" s="1"/>
  <c r="N833" i="3" s="1"/>
  <c r="Q837" i="3"/>
  <c r="Q836" i="3" s="1"/>
  <c r="Q835" i="3" s="1"/>
  <c r="U837" i="3"/>
  <c r="U836" i="3" s="1"/>
  <c r="U835" i="3" s="1"/>
  <c r="V837" i="3"/>
  <c r="V836" i="3" s="1"/>
  <c r="V835" i="3" s="1"/>
  <c r="Y837" i="3"/>
  <c r="Y836" i="3" s="1"/>
  <c r="Y835" i="3" s="1"/>
  <c r="Z837" i="3"/>
  <c r="Z836" i="3" s="1"/>
  <c r="Z835" i="3" s="1"/>
  <c r="AB837" i="3"/>
  <c r="AB836" i="3" s="1"/>
  <c r="AB835" i="3" s="1"/>
  <c r="L850" i="3"/>
  <c r="L849" i="3" s="1"/>
  <c r="L848" i="3" s="1"/>
  <c r="L847" i="3" s="1"/>
  <c r="L846" i="3" s="1"/>
  <c r="M850" i="3"/>
  <c r="M849" i="3" s="1"/>
  <c r="M848" i="3" s="1"/>
  <c r="M847" i="3" s="1"/>
  <c r="M846" i="3" s="1"/>
  <c r="N850" i="3"/>
  <c r="N849" i="3" s="1"/>
  <c r="N848" i="3" s="1"/>
  <c r="N847" i="3" s="1"/>
  <c r="O850" i="3"/>
  <c r="O849" i="3" s="1"/>
  <c r="O848" i="3" s="1"/>
  <c r="O847" i="3" s="1"/>
  <c r="P850" i="3"/>
  <c r="P849" i="3" s="1"/>
  <c r="P848" i="3" s="1"/>
  <c r="P847" i="3" s="1"/>
  <c r="R850" i="3"/>
  <c r="R849" i="3" s="1"/>
  <c r="R848" i="3" s="1"/>
  <c r="R847" i="3" s="1"/>
  <c r="S850" i="3"/>
  <c r="S849" i="3" s="1"/>
  <c r="S848" i="3" s="1"/>
  <c r="S847" i="3" s="1"/>
  <c r="T850" i="3"/>
  <c r="T849" i="3" s="1"/>
  <c r="T848" i="3" s="1"/>
  <c r="T847" i="3" s="1"/>
  <c r="W850" i="3"/>
  <c r="W849" i="3" s="1"/>
  <c r="W848" i="3" s="1"/>
  <c r="W847" i="3" s="1"/>
  <c r="X850" i="3"/>
  <c r="X849" i="3" s="1"/>
  <c r="X848" i="3" s="1"/>
  <c r="X847" i="3" s="1"/>
  <c r="AA850" i="3"/>
  <c r="AA849" i="3" s="1"/>
  <c r="AA848" i="3" s="1"/>
  <c r="AA847" i="3" s="1"/>
  <c r="Q851" i="3"/>
  <c r="Q850" i="3" s="1"/>
  <c r="Q849" i="3" s="1"/>
  <c r="Q848" i="3" s="1"/>
  <c r="Q847" i="3" s="1"/>
  <c r="U851" i="3"/>
  <c r="U850" i="3" s="1"/>
  <c r="U849" i="3" s="1"/>
  <c r="U848" i="3" s="1"/>
  <c r="U847" i="3" s="1"/>
  <c r="V851" i="3"/>
  <c r="V850" i="3" s="1"/>
  <c r="V849" i="3" s="1"/>
  <c r="V848" i="3" s="1"/>
  <c r="V847" i="3" s="1"/>
  <c r="Y851" i="3"/>
  <c r="Y850" i="3" s="1"/>
  <c r="Y849" i="3" s="1"/>
  <c r="Y848" i="3" s="1"/>
  <c r="Y847" i="3" s="1"/>
  <c r="Z851" i="3"/>
  <c r="Z850" i="3" s="1"/>
  <c r="Z849" i="3" s="1"/>
  <c r="Z848" i="3" s="1"/>
  <c r="Z847" i="3" s="1"/>
  <c r="AB851" i="3"/>
  <c r="AB850" i="3" s="1"/>
  <c r="AB849" i="3" s="1"/>
  <c r="AB848" i="3" s="1"/>
  <c r="AB847" i="3" s="1"/>
  <c r="L855" i="3"/>
  <c r="L854" i="3" s="1"/>
  <c r="L853" i="3" s="1"/>
  <c r="L852" i="3" s="1"/>
  <c r="M855" i="3"/>
  <c r="M854" i="3" s="1"/>
  <c r="M853" i="3" s="1"/>
  <c r="M852" i="3" s="1"/>
  <c r="N855" i="3"/>
  <c r="N854" i="3" s="1"/>
  <c r="N853" i="3" s="1"/>
  <c r="N852" i="3" s="1"/>
  <c r="O855" i="3"/>
  <c r="O854" i="3" s="1"/>
  <c r="O853" i="3" s="1"/>
  <c r="O852" i="3" s="1"/>
  <c r="P855" i="3"/>
  <c r="P854" i="3" s="1"/>
  <c r="P853" i="3" s="1"/>
  <c r="P852" i="3" s="1"/>
  <c r="Q855" i="3"/>
  <c r="Q854" i="3" s="1"/>
  <c r="Q853" i="3" s="1"/>
  <c r="Q852" i="3" s="1"/>
  <c r="R855" i="3"/>
  <c r="R854" i="3" s="1"/>
  <c r="R853" i="3" s="1"/>
  <c r="R852" i="3" s="1"/>
  <c r="S855" i="3"/>
  <c r="S854" i="3" s="1"/>
  <c r="S853" i="3" s="1"/>
  <c r="S852" i="3" s="1"/>
  <c r="T855" i="3"/>
  <c r="T854" i="3" s="1"/>
  <c r="T853" i="3" s="1"/>
  <c r="T852" i="3" s="1"/>
  <c r="U855" i="3"/>
  <c r="U854" i="3" s="1"/>
  <c r="U853" i="3" s="1"/>
  <c r="U852" i="3" s="1"/>
  <c r="V855" i="3"/>
  <c r="V854" i="3" s="1"/>
  <c r="V853" i="3" s="1"/>
  <c r="V852" i="3" s="1"/>
  <c r="W855" i="3"/>
  <c r="W854" i="3" s="1"/>
  <c r="W853" i="3" s="1"/>
  <c r="W852" i="3" s="1"/>
  <c r="X855" i="3"/>
  <c r="X854" i="3" s="1"/>
  <c r="X853" i="3" s="1"/>
  <c r="X852" i="3" s="1"/>
  <c r="Y855" i="3"/>
  <c r="Y854" i="3" s="1"/>
  <c r="Y853" i="3" s="1"/>
  <c r="Y852" i="3" s="1"/>
  <c r="Z855" i="3"/>
  <c r="Z854" i="3" s="1"/>
  <c r="Z853" i="3" s="1"/>
  <c r="Z852" i="3" s="1"/>
  <c r="AA855" i="3"/>
  <c r="AA854" i="3" s="1"/>
  <c r="AA853" i="3" s="1"/>
  <c r="AA852" i="3" s="1"/>
  <c r="AB855" i="3"/>
  <c r="AB854" i="3" s="1"/>
  <c r="AB853" i="3" s="1"/>
  <c r="AB852" i="3" s="1"/>
  <c r="N863" i="3"/>
  <c r="N865" i="3"/>
  <c r="N875" i="3"/>
  <c r="O875" i="3"/>
  <c r="D19" i="4"/>
  <c r="E19" i="4"/>
  <c r="G19" i="4"/>
  <c r="J19" i="4"/>
  <c r="K19" i="4"/>
  <c r="O19" i="4"/>
  <c r="P19" i="4"/>
  <c r="S19" i="4"/>
  <c r="D50" i="4"/>
  <c r="E50" i="4"/>
  <c r="P650" i="3" l="1"/>
  <c r="P649" i="3" s="1"/>
  <c r="P648" i="3" s="1"/>
  <c r="P647" i="3" s="1"/>
  <c r="P646" i="3" s="1"/>
  <c r="T651" i="3"/>
  <c r="T650" i="3" s="1"/>
  <c r="T649" i="3" s="1"/>
  <c r="T648" i="3" s="1"/>
  <c r="T647" i="3" s="1"/>
  <c r="U621" i="3"/>
  <c r="U620" i="3" s="1"/>
  <c r="Y622" i="3"/>
  <c r="Y621" i="3" s="1"/>
  <c r="Y620" i="3" s="1"/>
  <c r="V560" i="3"/>
  <c r="Y560" i="3"/>
  <c r="W560" i="3"/>
  <c r="W559" i="3" s="1"/>
  <c r="S560" i="3"/>
  <c r="AB560" i="3"/>
  <c r="AB559" i="3" s="1"/>
  <c r="Q560" i="3"/>
  <c r="AA560" i="3"/>
  <c r="AA559" i="3" s="1"/>
  <c r="X560" i="3"/>
  <c r="T560" i="3"/>
  <c r="R560" i="3"/>
  <c r="N393" i="5"/>
  <c r="W201" i="5"/>
  <c r="U201" i="5"/>
  <c r="S201" i="5"/>
  <c r="Q201" i="5"/>
  <c r="O201" i="5"/>
  <c r="Y201" i="5"/>
  <c r="Z238" i="5"/>
  <c r="X201" i="5"/>
  <c r="V201" i="5"/>
  <c r="T201" i="5"/>
  <c r="P201" i="5"/>
  <c r="Z201" i="5"/>
  <c r="V345" i="3"/>
  <c r="AB834" i="3"/>
  <c r="AB833" i="3" s="1"/>
  <c r="AB832" i="3" s="1"/>
  <c r="Y834" i="3"/>
  <c r="Y833" i="3" s="1"/>
  <c r="Y832" i="3" s="1"/>
  <c r="U834" i="3"/>
  <c r="U833" i="3" s="1"/>
  <c r="U832" i="3" s="1"/>
  <c r="X834" i="3"/>
  <c r="X833" i="3" s="1"/>
  <c r="X832" i="3" s="1"/>
  <c r="S834" i="3"/>
  <c r="S833" i="3" s="1"/>
  <c r="S832" i="3" s="1"/>
  <c r="AA704" i="3"/>
  <c r="AA703" i="3" s="1"/>
  <c r="AA702" i="3" s="1"/>
  <c r="Y704" i="3"/>
  <c r="Y703" i="3" s="1"/>
  <c r="Y702" i="3" s="1"/>
  <c r="W704" i="3"/>
  <c r="W703" i="3" s="1"/>
  <c r="W702" i="3" s="1"/>
  <c r="U704" i="3"/>
  <c r="U703" i="3" s="1"/>
  <c r="U702" i="3" s="1"/>
  <c r="R704" i="3"/>
  <c r="R703" i="3" s="1"/>
  <c r="R702" i="3" s="1"/>
  <c r="P704" i="3"/>
  <c r="P703" i="3" s="1"/>
  <c r="P702" i="3" s="1"/>
  <c r="Z834" i="3"/>
  <c r="Z833" i="3" s="1"/>
  <c r="Z832" i="3" s="1"/>
  <c r="V834" i="3"/>
  <c r="V833" i="3" s="1"/>
  <c r="V832" i="3" s="1"/>
  <c r="Q834" i="3"/>
  <c r="Q833" i="3" s="1"/>
  <c r="Q832" i="3" s="1"/>
  <c r="AA834" i="3"/>
  <c r="AA833" i="3" s="1"/>
  <c r="AA832" i="3" s="1"/>
  <c r="W834" i="3"/>
  <c r="W833" i="3" s="1"/>
  <c r="W832" i="3" s="1"/>
  <c r="R834" i="3"/>
  <c r="R833" i="3" s="1"/>
  <c r="R832" i="3" s="1"/>
  <c r="AB704" i="3"/>
  <c r="AB703" i="3" s="1"/>
  <c r="AB702" i="3" s="1"/>
  <c r="Z704" i="3"/>
  <c r="Z703" i="3" s="1"/>
  <c r="Z702" i="3" s="1"/>
  <c r="X704" i="3"/>
  <c r="X703" i="3" s="1"/>
  <c r="X702" i="3" s="1"/>
  <c r="V704" i="3"/>
  <c r="V703" i="3" s="1"/>
  <c r="V702" i="3" s="1"/>
  <c r="Q704" i="3"/>
  <c r="Q703" i="3" s="1"/>
  <c r="Q702" i="3" s="1"/>
  <c r="T704" i="3"/>
  <c r="T703" i="3" s="1"/>
  <c r="T702" i="3" s="1"/>
  <c r="S704" i="3"/>
  <c r="S703" i="3" s="1"/>
  <c r="S702" i="3" s="1"/>
  <c r="AB345" i="3"/>
  <c r="AB344" i="3" s="1"/>
  <c r="T35" i="4" s="1"/>
  <c r="Z345" i="3"/>
  <c r="Z344" i="3" s="1"/>
  <c r="R35" i="4" s="1"/>
  <c r="X345" i="3"/>
  <c r="X344" i="3" s="1"/>
  <c r="P35" i="4" s="1"/>
  <c r="T345" i="3"/>
  <c r="T344" i="3" s="1"/>
  <c r="L35" i="4" s="1"/>
  <c r="R345" i="3"/>
  <c r="R344" i="3" s="1"/>
  <c r="J35" i="4" s="1"/>
  <c r="P345" i="3"/>
  <c r="P344" i="3" s="1"/>
  <c r="H35" i="4" s="1"/>
  <c r="AA345" i="3"/>
  <c r="AA344" i="3" s="1"/>
  <c r="S35" i="4" s="1"/>
  <c r="Y345" i="3"/>
  <c r="Y344" i="3" s="1"/>
  <c r="Q35" i="4" s="1"/>
  <c r="W345" i="3"/>
  <c r="W344" i="3" s="1"/>
  <c r="O35" i="4" s="1"/>
  <c r="U345" i="3"/>
  <c r="S345" i="3"/>
  <c r="S344" i="3" s="1"/>
  <c r="K35" i="4" s="1"/>
  <c r="Q345" i="3"/>
  <c r="Q344" i="3" s="1"/>
  <c r="I35" i="4" s="1"/>
  <c r="Q19" i="4"/>
  <c r="Z668" i="3"/>
  <c r="Z667" i="3" s="1"/>
  <c r="AB669" i="3"/>
  <c r="AB668" i="3" s="1"/>
  <c r="AB667" i="3" s="1"/>
  <c r="P668" i="3"/>
  <c r="P667" i="3" s="1"/>
  <c r="T669" i="3"/>
  <c r="T668" i="3" s="1"/>
  <c r="T667" i="3" s="1"/>
  <c r="U668" i="3"/>
  <c r="U667" i="3" s="1"/>
  <c r="Y669" i="3"/>
  <c r="Y668" i="3" s="1"/>
  <c r="Y667" i="3" s="1"/>
  <c r="P665" i="3"/>
  <c r="P664" i="3" s="1"/>
  <c r="T666" i="3"/>
  <c r="T665" i="3" s="1"/>
  <c r="T664" i="3" s="1"/>
  <c r="P238" i="5"/>
  <c r="W238" i="5"/>
  <c r="T238" i="5"/>
  <c r="O238" i="5"/>
  <c r="Y238" i="5"/>
  <c r="V238" i="5"/>
  <c r="Q212" i="3"/>
  <c r="I19" i="4"/>
  <c r="P331" i="3"/>
  <c r="P330" i="3" s="1"/>
  <c r="P329" i="3" s="1"/>
  <c r="P328" i="3" s="1"/>
  <c r="T332" i="3"/>
  <c r="T331" i="3" s="1"/>
  <c r="T330" i="3" s="1"/>
  <c r="T329" i="3" s="1"/>
  <c r="T328" i="3" s="1"/>
  <c r="T327" i="3" s="1"/>
  <c r="L212" i="3"/>
  <c r="L211" i="3" s="1"/>
  <c r="L206" i="3" s="1"/>
  <c r="D21" i="4" s="1"/>
  <c r="V577" i="3"/>
  <c r="V576" i="3" s="1"/>
  <c r="V575" i="3" s="1"/>
  <c r="V569" i="3" s="1"/>
  <c r="X577" i="3"/>
  <c r="X576" i="3" s="1"/>
  <c r="X575" i="3" s="1"/>
  <c r="X569" i="3" s="1"/>
  <c r="R577" i="3"/>
  <c r="R576" i="3" s="1"/>
  <c r="R575" i="3" s="1"/>
  <c r="R569" i="3" s="1"/>
  <c r="M576" i="3"/>
  <c r="M575" i="3" s="1"/>
  <c r="M569" i="3" s="1"/>
  <c r="M577" i="3"/>
  <c r="V44" i="3"/>
  <c r="AA44" i="3"/>
  <c r="W44" i="3"/>
  <c r="AB576" i="3"/>
  <c r="AB575" i="3" s="1"/>
  <c r="AB569" i="3" s="1"/>
  <c r="Y576" i="3"/>
  <c r="Y575" i="3" s="1"/>
  <c r="Y569" i="3" s="1"/>
  <c r="U576" i="3"/>
  <c r="U575" i="3" s="1"/>
  <c r="U569" i="3" s="1"/>
  <c r="AA577" i="3"/>
  <c r="AA576" i="3" s="1"/>
  <c r="AA575" i="3" s="1"/>
  <c r="AA569" i="3" s="1"/>
  <c r="W577" i="3"/>
  <c r="W576" i="3" s="1"/>
  <c r="W575" i="3" s="1"/>
  <c r="W569" i="3" s="1"/>
  <c r="S576" i="3"/>
  <c r="S575" i="3" s="1"/>
  <c r="P576" i="3"/>
  <c r="P575" i="3" s="1"/>
  <c r="P569" i="3" s="1"/>
  <c r="N576" i="3"/>
  <c r="N575" i="3" s="1"/>
  <c r="N569" i="3" s="1"/>
  <c r="N577" i="3"/>
  <c r="L576" i="3"/>
  <c r="L575" i="3" s="1"/>
  <c r="L569" i="3" s="1"/>
  <c r="L577" i="3"/>
  <c r="AB44" i="3"/>
  <c r="X44" i="3"/>
  <c r="R44" i="3"/>
  <c r="Z576" i="3"/>
  <c r="Z575" i="3" s="1"/>
  <c r="Z569" i="3" s="1"/>
  <c r="Q577" i="3"/>
  <c r="Q576" i="3" s="1"/>
  <c r="Q575" i="3" s="1"/>
  <c r="Q569" i="3" s="1"/>
  <c r="T576" i="3"/>
  <c r="T575" i="3" s="1"/>
  <c r="O576" i="3"/>
  <c r="O575" i="3" s="1"/>
  <c r="O569" i="3" s="1"/>
  <c r="O577" i="3"/>
  <c r="Q44" i="3"/>
  <c r="Y593" i="5"/>
  <c r="U593" i="5"/>
  <c r="K593" i="5"/>
  <c r="N478" i="5"/>
  <c r="R479" i="5"/>
  <c r="R478" i="5" s="1"/>
  <c r="Z475" i="5"/>
  <c r="O475" i="5"/>
  <c r="W475" i="5"/>
  <c r="U475" i="5"/>
  <c r="P475" i="5"/>
  <c r="T475" i="5"/>
  <c r="Y475" i="5"/>
  <c r="V475" i="5"/>
  <c r="Q331" i="5"/>
  <c r="T724" i="3"/>
  <c r="Q724" i="3"/>
  <c r="Q714" i="3"/>
  <c r="AB212" i="3"/>
  <c r="V212" i="3"/>
  <c r="Y212" i="3"/>
  <c r="M19" i="4"/>
  <c r="P821" i="3"/>
  <c r="P818" i="3" s="1"/>
  <c r="P817" i="3" s="1"/>
  <c r="P816" i="3" s="1"/>
  <c r="P815" i="3" s="1"/>
  <c r="T822" i="3"/>
  <c r="T821" i="3" s="1"/>
  <c r="T818" i="3" s="1"/>
  <c r="T817" i="3" s="1"/>
  <c r="T816" i="3" s="1"/>
  <c r="T815" i="3" s="1"/>
  <c r="R724" i="3"/>
  <c r="R714" i="3"/>
  <c r="R212" i="3"/>
  <c r="AA212" i="3"/>
  <c r="X212" i="3"/>
  <c r="P58" i="3"/>
  <c r="P57" i="3" s="1"/>
  <c r="T59" i="3"/>
  <c r="T58" i="3" s="1"/>
  <c r="T57" i="3" s="1"/>
  <c r="U445" i="3"/>
  <c r="U444" i="3" s="1"/>
  <c r="U443" i="3" s="1"/>
  <c r="U442" i="3" s="1"/>
  <c r="Q445" i="3"/>
  <c r="Q444" i="3" s="1"/>
  <c r="Q443" i="3" s="1"/>
  <c r="Q442" i="3" s="1"/>
  <c r="W445" i="3"/>
  <c r="W444" i="3" s="1"/>
  <c r="W443" i="3" s="1"/>
  <c r="W442" i="3" s="1"/>
  <c r="Q475" i="5"/>
  <c r="F59" i="4"/>
  <c r="D59" i="4"/>
  <c r="D56" i="4" s="1"/>
  <c r="G50" i="4"/>
  <c r="N594" i="5"/>
  <c r="R595" i="5"/>
  <c r="R594" i="5" s="1"/>
  <c r="X229" i="5"/>
  <c r="T229" i="5"/>
  <c r="P229" i="5"/>
  <c r="S50" i="4"/>
  <c r="O50" i="4"/>
  <c r="M50" i="4"/>
  <c r="I50" i="4"/>
  <c r="N559" i="5"/>
  <c r="R560" i="5"/>
  <c r="R559" i="5" s="1"/>
  <c r="N520" i="5"/>
  <c r="R521" i="5"/>
  <c r="R520" i="5" s="1"/>
  <c r="N56" i="5"/>
  <c r="N219" i="5"/>
  <c r="N201" i="5" s="1"/>
  <c r="R221" i="5"/>
  <c r="R220" i="5" s="1"/>
  <c r="R219" i="5" s="1"/>
  <c r="R201" i="5" s="1"/>
  <c r="S445" i="3"/>
  <c r="S444" i="3" s="1"/>
  <c r="S443" i="3" s="1"/>
  <c r="S442" i="3" s="1"/>
  <c r="P825" i="3"/>
  <c r="P824" i="3" s="1"/>
  <c r="P823" i="3" s="1"/>
  <c r="X445" i="3"/>
  <c r="X444" i="3" s="1"/>
  <c r="X443" i="3" s="1"/>
  <c r="X442" i="3" s="1"/>
  <c r="T445" i="3"/>
  <c r="T444" i="3" s="1"/>
  <c r="T443" i="3" s="1"/>
  <c r="T442" i="3" s="1"/>
  <c r="P445" i="3"/>
  <c r="P444" i="3" s="1"/>
  <c r="P443" i="3" s="1"/>
  <c r="P442" i="3" s="1"/>
  <c r="V445" i="3"/>
  <c r="V444" i="3" s="1"/>
  <c r="V443" i="3" s="1"/>
  <c r="V442" i="3" s="1"/>
  <c r="P285" i="3"/>
  <c r="T286" i="3"/>
  <c r="T285" i="3" s="1"/>
  <c r="T282" i="3" s="1"/>
  <c r="AB825" i="3"/>
  <c r="AB824" i="3" s="1"/>
  <c r="AB823" i="3" s="1"/>
  <c r="Z825" i="3"/>
  <c r="Z824" i="3" s="1"/>
  <c r="Z823" i="3" s="1"/>
  <c r="X825" i="3"/>
  <c r="X824" i="3" s="1"/>
  <c r="X823" i="3" s="1"/>
  <c r="V825" i="3"/>
  <c r="V824" i="3" s="1"/>
  <c r="V823" i="3" s="1"/>
  <c r="T825" i="3"/>
  <c r="T824" i="3" s="1"/>
  <c r="T823" i="3" s="1"/>
  <c r="R825" i="3"/>
  <c r="R824" i="3" s="1"/>
  <c r="R823" i="3" s="1"/>
  <c r="AA825" i="3"/>
  <c r="AA824" i="3" s="1"/>
  <c r="AA823" i="3" s="1"/>
  <c r="Y825" i="3"/>
  <c r="Y824" i="3" s="1"/>
  <c r="Y823" i="3" s="1"/>
  <c r="W825" i="3"/>
  <c r="W824" i="3" s="1"/>
  <c r="W823" i="3" s="1"/>
  <c r="U825" i="3"/>
  <c r="U824" i="3" s="1"/>
  <c r="U823" i="3" s="1"/>
  <c r="S825" i="3"/>
  <c r="S824" i="3" s="1"/>
  <c r="S823" i="3" s="1"/>
  <c r="Q825" i="3"/>
  <c r="Q824" i="3" s="1"/>
  <c r="Q823" i="3" s="1"/>
  <c r="P40" i="3"/>
  <c r="P21" i="3" s="1"/>
  <c r="P20" i="3" s="1"/>
  <c r="H47" i="4" s="1"/>
  <c r="T42" i="3"/>
  <c r="T41" i="3" s="1"/>
  <c r="T40" i="3" s="1"/>
  <c r="T21" i="3" s="1"/>
  <c r="T20" i="3" s="1"/>
  <c r="L47" i="4" s="1"/>
  <c r="R19" i="4"/>
  <c r="N19" i="4"/>
  <c r="L19" i="4"/>
  <c r="H19" i="4"/>
  <c r="N866" i="3"/>
  <c r="AA681" i="3"/>
  <c r="AA675" i="3" s="1"/>
  <c r="AA674" i="3" s="1"/>
  <c r="AA673" i="3" s="1"/>
  <c r="W681" i="3"/>
  <c r="W675" i="3" s="1"/>
  <c r="W674" i="3" s="1"/>
  <c r="W673" i="3" s="1"/>
  <c r="P479" i="3"/>
  <c r="P478" i="3" s="1"/>
  <c r="P474" i="3" s="1"/>
  <c r="P473" i="3" s="1"/>
  <c r="H61" i="4" s="1"/>
  <c r="T480" i="3"/>
  <c r="T479" i="3" s="1"/>
  <c r="T478" i="3" s="1"/>
  <c r="T474" i="3" s="1"/>
  <c r="T473" i="3" s="1"/>
  <c r="L61" i="4" s="1"/>
  <c r="R282" i="3"/>
  <c r="R227" i="3"/>
  <c r="G65" i="4"/>
  <c r="T682" i="3"/>
  <c r="T681" i="3" s="1"/>
  <c r="T675" i="3" s="1"/>
  <c r="T674" i="3" s="1"/>
  <c r="P503" i="3"/>
  <c r="P502" i="3" s="1"/>
  <c r="P501" i="3" s="1"/>
  <c r="P500" i="3" s="1"/>
  <c r="P499" i="3" s="1"/>
  <c r="H64" i="4" s="1"/>
  <c r="AA626" i="3"/>
  <c r="S43" i="4" s="1"/>
  <c r="Y626" i="3"/>
  <c r="Q43" i="4" s="1"/>
  <c r="W626" i="3"/>
  <c r="O43" i="4" s="1"/>
  <c r="U626" i="3"/>
  <c r="M43" i="4" s="1"/>
  <c r="S626" i="3"/>
  <c r="K43" i="4" s="1"/>
  <c r="Q626" i="3"/>
  <c r="I43" i="4" s="1"/>
  <c r="AB626" i="3"/>
  <c r="T43" i="4" s="1"/>
  <c r="Z626" i="3"/>
  <c r="R43" i="4" s="1"/>
  <c r="X626" i="3"/>
  <c r="P43" i="4" s="1"/>
  <c r="V626" i="3"/>
  <c r="N43" i="4" s="1"/>
  <c r="T626" i="3"/>
  <c r="L43" i="4" s="1"/>
  <c r="R626" i="3"/>
  <c r="J43" i="4" s="1"/>
  <c r="P626" i="3"/>
  <c r="H43" i="4" s="1"/>
  <c r="Q50" i="4"/>
  <c r="K50" i="4"/>
  <c r="N286" i="5"/>
  <c r="R288" i="5"/>
  <c r="R287" i="5" s="1"/>
  <c r="R286" i="5" s="1"/>
  <c r="N174" i="5"/>
  <c r="N173" i="5" s="1"/>
  <c r="R175" i="5"/>
  <c r="R174" i="5" s="1"/>
  <c r="R173" i="5" s="1"/>
  <c r="N81" i="5"/>
  <c r="R229" i="5"/>
  <c r="R228" i="5" s="1"/>
  <c r="AA791" i="3"/>
  <c r="AA790" i="3" s="1"/>
  <c r="AA785" i="3" s="1"/>
  <c r="AA784" i="3" s="1"/>
  <c r="S791" i="3"/>
  <c r="S790" i="3" s="1"/>
  <c r="S785" i="3" s="1"/>
  <c r="S784" i="3" s="1"/>
  <c r="U478" i="3"/>
  <c r="U474" i="3" s="1"/>
  <c r="U473" i="3" s="1"/>
  <c r="M61" i="4" s="1"/>
  <c r="E59" i="4"/>
  <c r="E56" i="4" s="1"/>
  <c r="T19" i="4"/>
  <c r="F19" i="4"/>
  <c r="O863" i="3"/>
  <c r="O866" i="3" s="1"/>
  <c r="W818" i="3"/>
  <c r="W817" i="3" s="1"/>
  <c r="W816" i="3" s="1"/>
  <c r="W815" i="3" s="1"/>
  <c r="S675" i="3"/>
  <c r="S674" i="3" s="1"/>
  <c r="S673" i="3" s="1"/>
  <c r="AA604" i="3"/>
  <c r="AA600" i="3" s="1"/>
  <c r="AA599" i="3" s="1"/>
  <c r="Y604" i="3"/>
  <c r="Y600" i="3" s="1"/>
  <c r="Y599" i="3" s="1"/>
  <c r="W604" i="3"/>
  <c r="W600" i="3" s="1"/>
  <c r="W599" i="3" s="1"/>
  <c r="U604" i="3"/>
  <c r="U600" i="3" s="1"/>
  <c r="U599" i="3" s="1"/>
  <c r="S604" i="3"/>
  <c r="S600" i="3" s="1"/>
  <c r="S599" i="3" s="1"/>
  <c r="Q604" i="3"/>
  <c r="Q600" i="3" s="1"/>
  <c r="Q599" i="3" s="1"/>
  <c r="O604" i="3"/>
  <c r="O600" i="3" s="1"/>
  <c r="O599" i="3" s="1"/>
  <c r="G42" i="4" s="1"/>
  <c r="M604" i="3"/>
  <c r="M600" i="3" s="1"/>
  <c r="M599" i="3" s="1"/>
  <c r="M583" i="3" s="1"/>
  <c r="AB604" i="3"/>
  <c r="AB600" i="3" s="1"/>
  <c r="AB599" i="3" s="1"/>
  <c r="Z604" i="3"/>
  <c r="Z600" i="3" s="1"/>
  <c r="Z599" i="3" s="1"/>
  <c r="X604" i="3"/>
  <c r="X600" i="3" s="1"/>
  <c r="X599" i="3" s="1"/>
  <c r="V604" i="3"/>
  <c r="V600" i="3" s="1"/>
  <c r="V599" i="3" s="1"/>
  <c r="T604" i="3"/>
  <c r="T600" i="3" s="1"/>
  <c r="T599" i="3" s="1"/>
  <c r="S551" i="3"/>
  <c r="S550" i="3" s="1"/>
  <c r="G59" i="4"/>
  <c r="AB396" i="3"/>
  <c r="X396" i="3"/>
  <c r="T396" i="3"/>
  <c r="R396" i="3"/>
  <c r="P396" i="3"/>
  <c r="N396" i="3"/>
  <c r="AA396" i="3"/>
  <c r="Y396" i="3"/>
  <c r="W396" i="3"/>
  <c r="U396" i="3"/>
  <c r="S396" i="3"/>
  <c r="Q396" i="3"/>
  <c r="O396" i="3"/>
  <c r="Z375" i="3"/>
  <c r="Z374" i="3" s="1"/>
  <c r="Z373" i="3" s="1"/>
  <c r="Z369" i="3" s="1"/>
  <c r="Z364" i="3" s="1"/>
  <c r="X282" i="3"/>
  <c r="S232" i="3"/>
  <c r="O232" i="3"/>
  <c r="Y227" i="3"/>
  <c r="AB173" i="3"/>
  <c r="AB172" i="3" s="1"/>
  <c r="AB171" i="3" s="1"/>
  <c r="Y173" i="3"/>
  <c r="Y172" i="3" s="1"/>
  <c r="Y171" i="3" s="1"/>
  <c r="Y170" i="3" s="1"/>
  <c r="Y169" i="3" s="1"/>
  <c r="U173" i="3"/>
  <c r="U172" i="3" s="1"/>
  <c r="U171" i="3" s="1"/>
  <c r="U170" i="3" s="1"/>
  <c r="W791" i="3"/>
  <c r="W790" i="3" s="1"/>
  <c r="W785" i="3" s="1"/>
  <c r="W784" i="3" s="1"/>
  <c r="O791" i="3"/>
  <c r="O790" i="3" s="1"/>
  <c r="O785" i="3" s="1"/>
  <c r="O784" i="3" s="1"/>
  <c r="AB724" i="3"/>
  <c r="Z724" i="3"/>
  <c r="X724" i="3"/>
  <c r="V724" i="3"/>
  <c r="S724" i="3"/>
  <c r="R604" i="3"/>
  <c r="R600" i="3" s="1"/>
  <c r="R599" i="3" s="1"/>
  <c r="P604" i="3"/>
  <c r="P600" i="3" s="1"/>
  <c r="P599" i="3" s="1"/>
  <c r="N604" i="3"/>
  <c r="N600" i="3" s="1"/>
  <c r="N599" i="3" s="1"/>
  <c r="F42" i="4" s="1"/>
  <c r="L604" i="3"/>
  <c r="Q227" i="3"/>
  <c r="Q173" i="3"/>
  <c r="Q172" i="3" s="1"/>
  <c r="Q171" i="3" s="1"/>
  <c r="Q170" i="3" s="1"/>
  <c r="X173" i="3"/>
  <c r="X172" i="3" s="1"/>
  <c r="X171" i="3" s="1"/>
  <c r="N94" i="3"/>
  <c r="N93" i="3" s="1"/>
  <c r="P836" i="3"/>
  <c r="P835" i="3" s="1"/>
  <c r="T837" i="3"/>
  <c r="T836" i="3" s="1"/>
  <c r="T835" i="3" s="1"/>
  <c r="AA818" i="3"/>
  <c r="AA817" i="3" s="1"/>
  <c r="AA816" i="3" s="1"/>
  <c r="AA815" i="3" s="1"/>
  <c r="O818" i="3"/>
  <c r="O817" i="3" s="1"/>
  <c r="O816" i="3" s="1"/>
  <c r="O815" i="3" s="1"/>
  <c r="AB805" i="3"/>
  <c r="AB804" i="3" s="1"/>
  <c r="AB803" i="3" s="1"/>
  <c r="AB802" i="3" s="1"/>
  <c r="X805" i="3"/>
  <c r="X804" i="3" s="1"/>
  <c r="X803" i="3" s="1"/>
  <c r="X802" i="3" s="1"/>
  <c r="T805" i="3"/>
  <c r="T804" i="3" s="1"/>
  <c r="T803" i="3" s="1"/>
  <c r="T802" i="3" s="1"/>
  <c r="R805" i="3"/>
  <c r="R804" i="3" s="1"/>
  <c r="R803" i="3" s="1"/>
  <c r="R802" i="3" s="1"/>
  <c r="AA724" i="3"/>
  <c r="Y724" i="3"/>
  <c r="W724" i="3"/>
  <c r="U724" i="3"/>
  <c r="P724" i="3"/>
  <c r="T722" i="3"/>
  <c r="T721" i="3" s="1"/>
  <c r="AB657" i="3"/>
  <c r="Z657" i="3"/>
  <c r="Z656" i="3" s="1"/>
  <c r="Z655" i="3" s="1"/>
  <c r="Z654" i="3" s="1"/>
  <c r="X657" i="3"/>
  <c r="X656" i="3" s="1"/>
  <c r="X655" i="3" s="1"/>
  <c r="X654" i="3" s="1"/>
  <c r="T657" i="3"/>
  <c r="R657" i="3"/>
  <c r="R656" i="3" s="1"/>
  <c r="R655" i="3" s="1"/>
  <c r="R654" i="3" s="1"/>
  <c r="P657" i="3"/>
  <c r="P656" i="3" s="1"/>
  <c r="P655" i="3" s="1"/>
  <c r="P654" i="3" s="1"/>
  <c r="L657" i="3"/>
  <c r="L656" i="3" s="1"/>
  <c r="L655" i="3" s="1"/>
  <c r="L654" i="3" s="1"/>
  <c r="N489" i="3"/>
  <c r="N484" i="3" s="1"/>
  <c r="F63" i="4" s="1"/>
  <c r="Z324" i="3"/>
  <c r="Z323" i="3" s="1"/>
  <c r="U324" i="3"/>
  <c r="U323" i="3" s="1"/>
  <c r="U322" i="3" s="1"/>
  <c r="U321" i="3" s="1"/>
  <c r="U320" i="3" s="1"/>
  <c r="U319" i="3" s="1"/>
  <c r="P324" i="3"/>
  <c r="V232" i="3"/>
  <c r="X227" i="3"/>
  <c r="W227" i="3"/>
  <c r="L173" i="3"/>
  <c r="Z173" i="3"/>
  <c r="Z172" i="3" s="1"/>
  <c r="Z171" i="3" s="1"/>
  <c r="V173" i="3"/>
  <c r="V172" i="3" s="1"/>
  <c r="V171" i="3" s="1"/>
  <c r="P174" i="3"/>
  <c r="P173" i="3" s="1"/>
  <c r="P172" i="3" s="1"/>
  <c r="P171" i="3" s="1"/>
  <c r="P170" i="3" s="1"/>
  <c r="T175" i="3"/>
  <c r="T174" i="3" s="1"/>
  <c r="T173" i="3" s="1"/>
  <c r="T172" i="3" s="1"/>
  <c r="T171" i="3" s="1"/>
  <c r="T170" i="3" s="1"/>
  <c r="AA173" i="3"/>
  <c r="AA172" i="3" s="1"/>
  <c r="AA171" i="3" s="1"/>
  <c r="AA170" i="3" s="1"/>
  <c r="AA169" i="3" s="1"/>
  <c r="W173" i="3"/>
  <c r="R173" i="3"/>
  <c r="R172" i="3" s="1"/>
  <c r="R171" i="3" s="1"/>
  <c r="M173" i="3"/>
  <c r="P152" i="3"/>
  <c r="P148" i="3" s="1"/>
  <c r="P147" i="3" s="1"/>
  <c r="T154" i="3"/>
  <c r="T153" i="3" s="1"/>
  <c r="T152" i="3" s="1"/>
  <c r="T148" i="3" s="1"/>
  <c r="T147" i="3" s="1"/>
  <c r="U556" i="5"/>
  <c r="U555" i="5" s="1"/>
  <c r="Z556" i="5"/>
  <c r="Z555" i="5" s="1"/>
  <c r="N229" i="5"/>
  <c r="N228" i="5" s="1"/>
  <c r="Y229" i="5"/>
  <c r="U229" i="5"/>
  <c r="U228" i="5" s="1"/>
  <c r="J517" i="5"/>
  <c r="T517" i="5"/>
  <c r="N517" i="5"/>
  <c r="P517" i="5"/>
  <c r="Z486" i="5"/>
  <c r="V486" i="5"/>
  <c r="V483" i="5" s="1"/>
  <c r="R486" i="5"/>
  <c r="N486" i="5"/>
  <c r="J486" i="5"/>
  <c r="Y486" i="5"/>
  <c r="Y483" i="5" s="1"/>
  <c r="W486" i="5"/>
  <c r="U486" i="5"/>
  <c r="U483" i="5" s="1"/>
  <c r="R469" i="5"/>
  <c r="R468" i="5" s="1"/>
  <c r="Y465" i="5"/>
  <c r="Y454" i="5" s="1"/>
  <c r="U465" i="5"/>
  <c r="U454" i="5" s="1"/>
  <c r="Z465" i="5"/>
  <c r="Z454" i="5" s="1"/>
  <c r="W460" i="5"/>
  <c r="W459" i="5" s="1"/>
  <c r="W454" i="5" s="1"/>
  <c r="S460" i="5"/>
  <c r="S459" i="5" s="1"/>
  <c r="O460" i="5"/>
  <c r="O459" i="5" s="1"/>
  <c r="O454" i="5" s="1"/>
  <c r="K460" i="5"/>
  <c r="K459" i="5" s="1"/>
  <c r="X460" i="5"/>
  <c r="X459" i="5" s="1"/>
  <c r="T460" i="5"/>
  <c r="T459" i="5" s="1"/>
  <c r="N362" i="5"/>
  <c r="N361" i="5" s="1"/>
  <c r="N360" i="5" s="1"/>
  <c r="N256" i="5"/>
  <c r="N255" i="5" s="1"/>
  <c r="N254" i="5" s="1"/>
  <c r="Z229" i="5"/>
  <c r="Z228" i="5" s="1"/>
  <c r="W229" i="5"/>
  <c r="S229" i="5"/>
  <c r="S228" i="5" s="1"/>
  <c r="O229" i="5"/>
  <c r="V229" i="5"/>
  <c r="V228" i="5" s="1"/>
  <c r="Q229" i="5"/>
  <c r="Y194" i="5"/>
  <c r="Y193" i="5" s="1"/>
  <c r="W194" i="5"/>
  <c r="W193" i="5" s="1"/>
  <c r="U194" i="5"/>
  <c r="U193" i="5" s="1"/>
  <c r="S194" i="5"/>
  <c r="S193" i="5" s="1"/>
  <c r="Q194" i="5"/>
  <c r="Q193" i="5" s="1"/>
  <c r="O194" i="5"/>
  <c r="O193" i="5" s="1"/>
  <c r="M194" i="5"/>
  <c r="M193" i="5" s="1"/>
  <c r="K194" i="5"/>
  <c r="K193" i="5" s="1"/>
  <c r="Y167" i="5"/>
  <c r="Y166" i="5" s="1"/>
  <c r="Y165" i="5" s="1"/>
  <c r="U167" i="5"/>
  <c r="U166" i="5" s="1"/>
  <c r="Q167" i="5"/>
  <c r="Q166" i="5" s="1"/>
  <c r="Q165" i="5" s="1"/>
  <c r="M167" i="5"/>
  <c r="M166" i="5" s="1"/>
  <c r="Z154" i="5"/>
  <c r="X154" i="5"/>
  <c r="V154" i="5"/>
  <c r="T154" i="5"/>
  <c r="R154" i="5"/>
  <c r="P154" i="5"/>
  <c r="N154" i="5"/>
  <c r="L154" i="5"/>
  <c r="L153" i="5" s="1"/>
  <c r="J154" i="5"/>
  <c r="J153" i="5" s="1"/>
  <c r="W112" i="5"/>
  <c r="S112" i="5"/>
  <c r="O112" i="5"/>
  <c r="K112" i="5"/>
  <c r="K111" i="5" s="1"/>
  <c r="O24" i="5"/>
  <c r="O18" i="5" s="1"/>
  <c r="Q24" i="5"/>
  <c r="Q18" i="5" s="1"/>
  <c r="S173" i="3"/>
  <c r="S172" i="3" s="1"/>
  <c r="S171" i="3" s="1"/>
  <c r="S170" i="3" s="1"/>
  <c r="S169" i="3" s="1"/>
  <c r="G64" i="4"/>
  <c r="P50" i="4"/>
  <c r="O489" i="3"/>
  <c r="O484" i="3" s="1"/>
  <c r="G63" i="4" s="1"/>
  <c r="T50" i="4"/>
  <c r="L50" i="4"/>
  <c r="H50" i="4"/>
  <c r="T551" i="3"/>
  <c r="T550" i="3" s="1"/>
  <c r="O59" i="4"/>
  <c r="D51" i="4"/>
  <c r="M21" i="3"/>
  <c r="M20" i="3" s="1"/>
  <c r="E47" i="4" s="1"/>
  <c r="E46" i="4" s="1"/>
  <c r="L551" i="3"/>
  <c r="L550" i="3" s="1"/>
  <c r="AB818" i="3"/>
  <c r="AB817" i="3" s="1"/>
  <c r="AB816" i="3" s="1"/>
  <c r="AB815" i="3" s="1"/>
  <c r="Y818" i="3"/>
  <c r="Y817" i="3" s="1"/>
  <c r="Y816" i="3" s="1"/>
  <c r="Y815" i="3" s="1"/>
  <c r="AA796" i="3"/>
  <c r="Y796" i="3"/>
  <c r="W796" i="3"/>
  <c r="U796" i="3"/>
  <c r="Q796" i="3"/>
  <c r="T798" i="3"/>
  <c r="T797" i="3" s="1"/>
  <c r="T796" i="3" s="1"/>
  <c r="N798" i="3"/>
  <c r="N797" i="3" s="1"/>
  <c r="N796" i="3" s="1"/>
  <c r="AB796" i="3"/>
  <c r="Z796" i="3"/>
  <c r="X796" i="3"/>
  <c r="V796" i="3"/>
  <c r="R796" i="3"/>
  <c r="Y791" i="3"/>
  <c r="Y790" i="3" s="1"/>
  <c r="Y785" i="3" s="1"/>
  <c r="Y784" i="3" s="1"/>
  <c r="U791" i="3"/>
  <c r="U790" i="3" s="1"/>
  <c r="U785" i="3" s="1"/>
  <c r="U784" i="3" s="1"/>
  <c r="Q791" i="3"/>
  <c r="Q790" i="3" s="1"/>
  <c r="Q785" i="3" s="1"/>
  <c r="Q784" i="3" s="1"/>
  <c r="AA774" i="3"/>
  <c r="AA773" i="3" s="1"/>
  <c r="AA772" i="3" s="1"/>
  <c r="AA771" i="3" s="1"/>
  <c r="S55" i="4" s="1"/>
  <c r="Y774" i="3"/>
  <c r="Y773" i="3" s="1"/>
  <c r="Y772" i="3" s="1"/>
  <c r="Y771" i="3" s="1"/>
  <c r="Q55" i="4" s="1"/>
  <c r="W774" i="3"/>
  <c r="W773" i="3" s="1"/>
  <c r="W772" i="3" s="1"/>
  <c r="W771" i="3" s="1"/>
  <c r="O55" i="4" s="1"/>
  <c r="U774" i="3"/>
  <c r="U773" i="3" s="1"/>
  <c r="U772" i="3" s="1"/>
  <c r="U771" i="3" s="1"/>
  <c r="M55" i="4" s="1"/>
  <c r="S774" i="3"/>
  <c r="S773" i="3" s="1"/>
  <c r="S772" i="3" s="1"/>
  <c r="S771" i="3" s="1"/>
  <c r="K55" i="4" s="1"/>
  <c r="Q774" i="3"/>
  <c r="Q773" i="3" s="1"/>
  <c r="Q772" i="3" s="1"/>
  <c r="Q771" i="3" s="1"/>
  <c r="I55" i="4" s="1"/>
  <c r="O774" i="3"/>
  <c r="O773" i="3" s="1"/>
  <c r="O772" i="3" s="1"/>
  <c r="O771" i="3" s="1"/>
  <c r="G55" i="4" s="1"/>
  <c r="M774" i="3"/>
  <c r="M773" i="3" s="1"/>
  <c r="M772" i="3" s="1"/>
  <c r="M771" i="3" s="1"/>
  <c r="E55" i="4" s="1"/>
  <c r="AB774" i="3"/>
  <c r="AB773" i="3" s="1"/>
  <c r="AB772" i="3" s="1"/>
  <c r="AB771" i="3" s="1"/>
  <c r="T55" i="4" s="1"/>
  <c r="Z774" i="3"/>
  <c r="Z773" i="3" s="1"/>
  <c r="Z772" i="3" s="1"/>
  <c r="Z771" i="3" s="1"/>
  <c r="R55" i="4" s="1"/>
  <c r="X774" i="3"/>
  <c r="X773" i="3" s="1"/>
  <c r="X772" i="3" s="1"/>
  <c r="X771" i="3" s="1"/>
  <c r="P55" i="4" s="1"/>
  <c r="V774" i="3"/>
  <c r="V773" i="3" s="1"/>
  <c r="V772" i="3" s="1"/>
  <c r="V771" i="3" s="1"/>
  <c r="N55" i="4" s="1"/>
  <c r="T774" i="3"/>
  <c r="T773" i="3" s="1"/>
  <c r="T772" i="3" s="1"/>
  <c r="T771" i="3" s="1"/>
  <c r="L55" i="4" s="1"/>
  <c r="R774" i="3"/>
  <c r="R773" i="3" s="1"/>
  <c r="R772" i="3" s="1"/>
  <c r="R771" i="3" s="1"/>
  <c r="J55" i="4" s="1"/>
  <c r="P774" i="3"/>
  <c r="P773" i="3" s="1"/>
  <c r="P772" i="3" s="1"/>
  <c r="P771" i="3" s="1"/>
  <c r="H55" i="4" s="1"/>
  <c r="N774" i="3"/>
  <c r="N773" i="3" s="1"/>
  <c r="N772" i="3" s="1"/>
  <c r="N771" i="3" s="1"/>
  <c r="F55" i="4" s="1"/>
  <c r="L774" i="3"/>
  <c r="L773" i="3" s="1"/>
  <c r="L772" i="3" s="1"/>
  <c r="L771" i="3" s="1"/>
  <c r="D55" i="4" s="1"/>
  <c r="T672" i="3"/>
  <c r="T671" i="3" s="1"/>
  <c r="T670" i="3" s="1"/>
  <c r="Q489" i="3"/>
  <c r="AB478" i="3"/>
  <c r="AB474" i="3" s="1"/>
  <c r="AB473" i="3" s="1"/>
  <c r="T61" i="4" s="1"/>
  <c r="N478" i="3"/>
  <c r="N474" i="3" s="1"/>
  <c r="N473" i="3" s="1"/>
  <c r="F61" i="4" s="1"/>
  <c r="AB339" i="3"/>
  <c r="AB338" i="3" s="1"/>
  <c r="AB337" i="3" s="1"/>
  <c r="T32" i="4" s="1"/>
  <c r="Z339" i="3"/>
  <c r="Z338" i="3" s="1"/>
  <c r="Z337" i="3" s="1"/>
  <c r="R32" i="4" s="1"/>
  <c r="X339" i="3"/>
  <c r="X338" i="3" s="1"/>
  <c r="X337" i="3" s="1"/>
  <c r="P32" i="4" s="1"/>
  <c r="V339" i="3"/>
  <c r="V338" i="3" s="1"/>
  <c r="V337" i="3" s="1"/>
  <c r="N32" i="4" s="1"/>
  <c r="T339" i="3"/>
  <c r="T338" i="3" s="1"/>
  <c r="T337" i="3" s="1"/>
  <c r="L32" i="4" s="1"/>
  <c r="R339" i="3"/>
  <c r="R338" i="3" s="1"/>
  <c r="R337" i="3" s="1"/>
  <c r="J32" i="4" s="1"/>
  <c r="P339" i="3"/>
  <c r="P338" i="3" s="1"/>
  <c r="P337" i="3" s="1"/>
  <c r="H32" i="4" s="1"/>
  <c r="N339" i="3"/>
  <c r="N338" i="3" s="1"/>
  <c r="N337" i="3" s="1"/>
  <c r="F32" i="4" s="1"/>
  <c r="L339" i="3"/>
  <c r="L338" i="3" s="1"/>
  <c r="L337" i="3" s="1"/>
  <c r="D32" i="4" s="1"/>
  <c r="D31" i="4" s="1"/>
  <c r="W331" i="3"/>
  <c r="W330" i="3" s="1"/>
  <c r="W329" i="3" s="1"/>
  <c r="W328" i="3" s="1"/>
  <c r="Q322" i="3"/>
  <c r="Q321" i="3" s="1"/>
  <c r="Q320" i="3" s="1"/>
  <c r="Q319" i="3" s="1"/>
  <c r="AA282" i="3"/>
  <c r="AB269" i="3"/>
  <c r="AB268" i="3" s="1"/>
  <c r="AB267" i="3" s="1"/>
  <c r="Z269" i="3"/>
  <c r="Z268" i="3" s="1"/>
  <c r="Z267" i="3" s="1"/>
  <c r="X269" i="3"/>
  <c r="X268" i="3" s="1"/>
  <c r="X267" i="3" s="1"/>
  <c r="V269" i="3"/>
  <c r="V268" i="3" s="1"/>
  <c r="V267" i="3" s="1"/>
  <c r="T269" i="3"/>
  <c r="T268" i="3" s="1"/>
  <c r="T267" i="3" s="1"/>
  <c r="R269" i="3"/>
  <c r="R268" i="3" s="1"/>
  <c r="R267" i="3" s="1"/>
  <c r="P269" i="3"/>
  <c r="P268" i="3" s="1"/>
  <c r="P267" i="3" s="1"/>
  <c r="N269" i="3"/>
  <c r="N268" i="3" s="1"/>
  <c r="N267" i="3" s="1"/>
  <c r="L269" i="3"/>
  <c r="L268" i="3" s="1"/>
  <c r="L267" i="3" s="1"/>
  <c r="L247" i="3" s="1"/>
  <c r="AA269" i="3"/>
  <c r="AA268" i="3" s="1"/>
  <c r="AA267" i="3" s="1"/>
  <c r="Y269" i="3"/>
  <c r="Y268" i="3" s="1"/>
  <c r="Y267" i="3" s="1"/>
  <c r="W269" i="3"/>
  <c r="W268" i="3" s="1"/>
  <c r="W267" i="3" s="1"/>
  <c r="U269" i="3"/>
  <c r="U268" i="3" s="1"/>
  <c r="U267" i="3" s="1"/>
  <c r="S269" i="3"/>
  <c r="S268" i="3" s="1"/>
  <c r="S267" i="3" s="1"/>
  <c r="Q269" i="3"/>
  <c r="Q268" i="3" s="1"/>
  <c r="Q267" i="3" s="1"/>
  <c r="O269" i="3"/>
  <c r="O268" i="3" s="1"/>
  <c r="O267" i="3" s="1"/>
  <c r="M269" i="3"/>
  <c r="M268" i="3" s="1"/>
  <c r="M267" i="3" s="1"/>
  <c r="M247" i="3" s="1"/>
  <c r="O213" i="3"/>
  <c r="O212" i="3" s="1"/>
  <c r="AA148" i="3"/>
  <c r="AA147" i="3" s="1"/>
  <c r="AA146" i="3" s="1"/>
  <c r="W94" i="3"/>
  <c r="W93" i="3" s="1"/>
  <c r="Z95" i="3"/>
  <c r="Z94" i="3" s="1"/>
  <c r="Z93" i="3" s="1"/>
  <c r="S64" i="3"/>
  <c r="S63" i="3" s="1"/>
  <c r="T64" i="3"/>
  <c r="T63" i="3" s="1"/>
  <c r="S265" i="5"/>
  <c r="W266" i="5"/>
  <c r="W265" i="5" s="1"/>
  <c r="S818" i="3"/>
  <c r="S817" i="3" s="1"/>
  <c r="S816" i="3" s="1"/>
  <c r="S815" i="3" s="1"/>
  <c r="Q818" i="3"/>
  <c r="Q817" i="3" s="1"/>
  <c r="Q816" i="3" s="1"/>
  <c r="Q815" i="3" s="1"/>
  <c r="L796" i="3"/>
  <c r="L785" i="3" s="1"/>
  <c r="L784" i="3" s="1"/>
  <c r="L783" i="3" s="1"/>
  <c r="L782" i="3" s="1"/>
  <c r="Z551" i="3"/>
  <c r="Z550" i="3" s="1"/>
  <c r="R551" i="3"/>
  <c r="R550" i="3" s="1"/>
  <c r="R510" i="3"/>
  <c r="R509" i="3" s="1"/>
  <c r="J65" i="4" s="1"/>
  <c r="AB322" i="3"/>
  <c r="AB321" i="3" s="1"/>
  <c r="AB320" i="3" s="1"/>
  <c r="AB319" i="3" s="1"/>
  <c r="Y322" i="3"/>
  <c r="Y321" i="3" s="1"/>
  <c r="Y320" i="3" s="1"/>
  <c r="Y319" i="3" s="1"/>
  <c r="V322" i="3"/>
  <c r="V321" i="3" s="1"/>
  <c r="V320" i="3" s="1"/>
  <c r="V319" i="3" s="1"/>
  <c r="V312" i="3" s="1"/>
  <c r="S322" i="3"/>
  <c r="S321" i="3" s="1"/>
  <c r="S320" i="3" s="1"/>
  <c r="S319" i="3" s="1"/>
  <c r="U292" i="3"/>
  <c r="T292" i="3"/>
  <c r="R292" i="3"/>
  <c r="O292" i="3"/>
  <c r="M292" i="3"/>
  <c r="Z232" i="3"/>
  <c r="T232" i="3"/>
  <c r="P232" i="3"/>
  <c r="L232" i="3"/>
  <c r="X232" i="3"/>
  <c r="W172" i="3"/>
  <c r="W171" i="3" s="1"/>
  <c r="W170" i="3" s="1"/>
  <c r="W169" i="3" s="1"/>
  <c r="V148" i="3"/>
  <c r="V147" i="3" s="1"/>
  <c r="V146" i="3" s="1"/>
  <c r="V99" i="3"/>
  <c r="V89" i="3" s="1"/>
  <c r="R94" i="3"/>
  <c r="R93" i="3" s="1"/>
  <c r="U95" i="3"/>
  <c r="U94" i="3" s="1"/>
  <c r="U93" i="3" s="1"/>
  <c r="T593" i="5"/>
  <c r="T577" i="5" s="1"/>
  <c r="N593" i="5"/>
  <c r="T524" i="5"/>
  <c r="K517" i="5"/>
  <c r="N501" i="5"/>
  <c r="X496" i="5"/>
  <c r="J496" i="5"/>
  <c r="U255" i="5"/>
  <c r="U254" i="5" s="1"/>
  <c r="U238" i="5" s="1"/>
  <c r="X256" i="5"/>
  <c r="X255" i="5" s="1"/>
  <c r="X254" i="5" s="1"/>
  <c r="AB232" i="3"/>
  <c r="N232" i="3"/>
  <c r="U227" i="3"/>
  <c r="S227" i="3"/>
  <c r="M227" i="3"/>
  <c r="AA222" i="3"/>
  <c r="AA219" i="3" s="1"/>
  <c r="Y222" i="3"/>
  <c r="W222" i="3"/>
  <c r="W219" i="3" s="1"/>
  <c r="U222" i="3"/>
  <c r="S222" i="3"/>
  <c r="S219" i="3" s="1"/>
  <c r="Q222" i="3"/>
  <c r="Q219" i="3" s="1"/>
  <c r="O222" i="3"/>
  <c r="M222" i="3"/>
  <c r="Z214" i="3"/>
  <c r="Z213" i="3" s="1"/>
  <c r="N212" i="3"/>
  <c r="AB99" i="3"/>
  <c r="T99" i="3"/>
  <c r="O99" i="3"/>
  <c r="O89" i="3" s="1"/>
  <c r="O88" i="3" s="1"/>
  <c r="L99" i="3"/>
  <c r="L89" i="3" s="1"/>
  <c r="AA99" i="3"/>
  <c r="S99" i="3"/>
  <c r="S89" i="3" s="1"/>
  <c r="S88" i="3" s="1"/>
  <c r="Q593" i="5"/>
  <c r="Q577" i="5" s="1"/>
  <c r="M593" i="5"/>
  <c r="S593" i="5"/>
  <c r="L593" i="5"/>
  <c r="W556" i="5"/>
  <c r="W555" i="5" s="1"/>
  <c r="Q556" i="5"/>
  <c r="Q555" i="5" s="1"/>
  <c r="V501" i="5"/>
  <c r="Q496" i="5"/>
  <c r="Z491" i="5"/>
  <c r="S491" i="5"/>
  <c r="W372" i="5"/>
  <c r="S372" i="5"/>
  <c r="O372" i="5"/>
  <c r="P355" i="5"/>
  <c r="Y355" i="5"/>
  <c r="Q355" i="5"/>
  <c r="M332" i="5"/>
  <c r="M331" i="5" s="1"/>
  <c r="M260" i="5"/>
  <c r="K244" i="5"/>
  <c r="Y239" i="5"/>
  <c r="W239" i="5"/>
  <c r="U239" i="5"/>
  <c r="S239" i="5"/>
  <c r="P228" i="5"/>
  <c r="N80" i="5"/>
  <c r="X593" i="5"/>
  <c r="X577" i="5" s="1"/>
  <c r="R593" i="5"/>
  <c r="R577" i="5" s="1"/>
  <c r="J593" i="5"/>
  <c r="J577" i="5" s="1"/>
  <c r="M564" i="5"/>
  <c r="M563" i="5" s="1"/>
  <c r="L556" i="5"/>
  <c r="L555" i="5" s="1"/>
  <c r="U524" i="5"/>
  <c r="Z501" i="5"/>
  <c r="L501" i="5"/>
  <c r="Q501" i="5"/>
  <c r="K491" i="5"/>
  <c r="M475" i="5"/>
  <c r="P420" i="5"/>
  <c r="V408" i="5"/>
  <c r="N408" i="5"/>
  <c r="X363" i="5"/>
  <c r="T363" i="5"/>
  <c r="R355" i="5"/>
  <c r="X332" i="5"/>
  <c r="X331" i="5" s="1"/>
  <c r="O332" i="5"/>
  <c r="O331" i="5" s="1"/>
  <c r="M229" i="5"/>
  <c r="M228" i="5" s="1"/>
  <c r="W167" i="5"/>
  <c r="W166" i="5" s="1"/>
  <c r="W165" i="5" s="1"/>
  <c r="S167" i="5"/>
  <c r="S166" i="5" s="1"/>
  <c r="O167" i="5"/>
  <c r="O166" i="5" s="1"/>
  <c r="O165" i="5" s="1"/>
  <c r="K167" i="5"/>
  <c r="K166" i="5" s="1"/>
  <c r="Y112" i="5"/>
  <c r="Y111" i="5" s="1"/>
  <c r="U112" i="5"/>
  <c r="Q112" i="5"/>
  <c r="Q111" i="5" s="1"/>
  <c r="M112" i="5"/>
  <c r="U24" i="5"/>
  <c r="U18" i="5" s="1"/>
  <c r="Y556" i="5"/>
  <c r="Y555" i="5" s="1"/>
  <c r="T557" i="5"/>
  <c r="T556" i="5" s="1"/>
  <c r="T555" i="5" s="1"/>
  <c r="M556" i="5"/>
  <c r="M555" i="5" s="1"/>
  <c r="X524" i="5"/>
  <c r="X517" i="5"/>
  <c r="T496" i="5"/>
  <c r="N496" i="5"/>
  <c r="T491" i="5"/>
  <c r="X486" i="5"/>
  <c r="T486" i="5"/>
  <c r="T483" i="5" s="1"/>
  <c r="P486" i="5"/>
  <c r="P483" i="5" s="1"/>
  <c r="L486" i="5"/>
  <c r="Q486" i="5"/>
  <c r="Q483" i="5" s="1"/>
  <c r="M486" i="5"/>
  <c r="Y460" i="5"/>
  <c r="Y459" i="5" s="1"/>
  <c r="U460" i="5"/>
  <c r="U459" i="5" s="1"/>
  <c r="Q460" i="5"/>
  <c r="Q459" i="5" s="1"/>
  <c r="M460" i="5"/>
  <c r="M459" i="5" s="1"/>
  <c r="Y372" i="5"/>
  <c r="U372" i="5"/>
  <c r="Q372" i="5"/>
  <c r="M372" i="5"/>
  <c r="W363" i="5"/>
  <c r="S363" i="5"/>
  <c r="N363" i="5"/>
  <c r="P363" i="5"/>
  <c r="P351" i="5" s="1"/>
  <c r="Z363" i="5"/>
  <c r="V363" i="5"/>
  <c r="K332" i="5"/>
  <c r="S256" i="5"/>
  <c r="S255" i="5" s="1"/>
  <c r="S254" i="5" s="1"/>
  <c r="S253" i="5"/>
  <c r="S252" i="5" s="1"/>
  <c r="S251" i="5" s="1"/>
  <c r="Y244" i="5"/>
  <c r="O239" i="5"/>
  <c r="K239" i="5"/>
  <c r="K229" i="5"/>
  <c r="R49" i="5"/>
  <c r="R48" i="5" s="1"/>
  <c r="R47" i="5" s="1"/>
  <c r="V24" i="5"/>
  <c r="V18" i="5" s="1"/>
  <c r="V593" i="5"/>
  <c r="K564" i="5"/>
  <c r="K563" i="5" s="1"/>
  <c r="X556" i="5"/>
  <c r="X555" i="5" s="1"/>
  <c r="V517" i="5"/>
  <c r="L491" i="5"/>
  <c r="P408" i="5"/>
  <c r="V264" i="5"/>
  <c r="Y264" i="5" s="1"/>
  <c r="V263" i="5"/>
  <c r="Y263" i="5" s="1"/>
  <c r="Y24" i="5"/>
  <c r="Y18" i="5" s="1"/>
  <c r="Z593" i="5"/>
  <c r="Z577" i="5" s="1"/>
  <c r="P491" i="5"/>
  <c r="P460" i="5"/>
  <c r="P459" i="5" s="1"/>
  <c r="P454" i="5" s="1"/>
  <c r="L460" i="5"/>
  <c r="L459" i="5" s="1"/>
  <c r="Z263" i="5"/>
  <c r="Q239" i="5"/>
  <c r="M239" i="5"/>
  <c r="Y577" i="5"/>
  <c r="U577" i="5"/>
  <c r="M577" i="5"/>
  <c r="W593" i="5"/>
  <c r="W577" i="5" s="1"/>
  <c r="O593" i="5"/>
  <c r="O577" i="5" s="1"/>
  <c r="O556" i="5"/>
  <c r="O555" i="5" s="1"/>
  <c r="O524" i="5"/>
  <c r="P524" i="5"/>
  <c r="K524" i="5"/>
  <c r="K516" i="5" s="1"/>
  <c r="U517" i="5"/>
  <c r="S501" i="5"/>
  <c r="R496" i="5"/>
  <c r="Q491" i="5"/>
  <c r="Z408" i="5"/>
  <c r="N564" i="5"/>
  <c r="N563" i="5" s="1"/>
  <c r="J564" i="5"/>
  <c r="J563" i="5" s="1"/>
  <c r="N558" i="5"/>
  <c r="W524" i="5"/>
  <c r="Y524" i="5"/>
  <c r="N524" i="5"/>
  <c r="J524" i="5"/>
  <c r="Q517" i="5"/>
  <c r="X501" i="5"/>
  <c r="R501" i="5"/>
  <c r="Y501" i="5"/>
  <c r="Y496" i="5"/>
  <c r="Y491" i="5"/>
  <c r="J491" i="5"/>
  <c r="J471" i="5" s="1"/>
  <c r="S577" i="5"/>
  <c r="K577" i="5"/>
  <c r="V577" i="5"/>
  <c r="N577" i="5"/>
  <c r="V556" i="5"/>
  <c r="V555" i="5" s="1"/>
  <c r="R524" i="5"/>
  <c r="M524" i="5"/>
  <c r="R517" i="5"/>
  <c r="Y517" i="5"/>
  <c r="W501" i="5"/>
  <c r="O501" i="5"/>
  <c r="M501" i="5"/>
  <c r="P496" i="5"/>
  <c r="W491" i="5"/>
  <c r="O491" i="5"/>
  <c r="X408" i="5"/>
  <c r="T408" i="5"/>
  <c r="P593" i="5"/>
  <c r="L564" i="5"/>
  <c r="L563" i="5" s="1"/>
  <c r="S558" i="5"/>
  <c r="S557" i="5" s="1"/>
  <c r="P556" i="5"/>
  <c r="P555" i="5" s="1"/>
  <c r="Z524" i="5"/>
  <c r="S524" i="5"/>
  <c r="V524" i="5"/>
  <c r="Q524" i="5"/>
  <c r="L524" i="5"/>
  <c r="M517" i="5"/>
  <c r="T501" i="5"/>
  <c r="U501" i="5"/>
  <c r="W496" i="5"/>
  <c r="O496" i="5"/>
  <c r="U491" i="5"/>
  <c r="Z420" i="5"/>
  <c r="V420" i="5"/>
  <c r="W347" i="5"/>
  <c r="W346" i="5" s="1"/>
  <c r="Z348" i="5"/>
  <c r="Z347" i="5" s="1"/>
  <c r="Z346" i="5" s="1"/>
  <c r="S486" i="5"/>
  <c r="O486" i="5"/>
  <c r="O483" i="5" s="1"/>
  <c r="K486" i="5"/>
  <c r="K471" i="5" s="1"/>
  <c r="Z460" i="5"/>
  <c r="Z459" i="5" s="1"/>
  <c r="V460" i="5"/>
  <c r="V459" i="5" s="1"/>
  <c r="R460" i="5"/>
  <c r="R459" i="5" s="1"/>
  <c r="N460" i="5"/>
  <c r="N459" i="5" s="1"/>
  <c r="J460" i="5"/>
  <c r="J459" i="5" s="1"/>
  <c r="Y446" i="5"/>
  <c r="Y445" i="5" s="1"/>
  <c r="U446" i="5"/>
  <c r="U445" i="5" s="1"/>
  <c r="U439" i="5" s="1"/>
  <c r="Q446" i="5"/>
  <c r="Q445" i="5" s="1"/>
  <c r="M446" i="5"/>
  <c r="M445" i="5" s="1"/>
  <c r="M439" i="5" s="1"/>
  <c r="Z446" i="5"/>
  <c r="Z445" i="5" s="1"/>
  <c r="V446" i="5"/>
  <c r="V445" i="5" s="1"/>
  <c r="R446" i="5"/>
  <c r="R445" i="5" s="1"/>
  <c r="N446" i="5"/>
  <c r="N445" i="5" s="1"/>
  <c r="J446" i="5"/>
  <c r="J445" i="5" s="1"/>
  <c r="Q420" i="5"/>
  <c r="O408" i="5"/>
  <c r="Z380" i="5"/>
  <c r="V380" i="5"/>
  <c r="R380" i="5"/>
  <c r="N380" i="5"/>
  <c r="W380" i="5"/>
  <c r="S380" i="5"/>
  <c r="O380" i="5"/>
  <c r="X372" i="5"/>
  <c r="T372" i="5"/>
  <c r="P372" i="5"/>
  <c r="L372" i="5"/>
  <c r="Q363" i="5"/>
  <c r="Q351" i="5" s="1"/>
  <c r="N355" i="5"/>
  <c r="J355" i="5"/>
  <c r="J351" i="5" s="1"/>
  <c r="T355" i="5"/>
  <c r="M355" i="5"/>
  <c r="K331" i="5"/>
  <c r="W332" i="5"/>
  <c r="R332" i="5"/>
  <c r="U496" i="5"/>
  <c r="M496" i="5"/>
  <c r="Z496" i="5"/>
  <c r="S496" i="5"/>
  <c r="L496" i="5"/>
  <c r="V496" i="5"/>
  <c r="X491" i="5"/>
  <c r="R491" i="5"/>
  <c r="M467" i="5"/>
  <c r="M466" i="5" s="1"/>
  <c r="X465" i="5"/>
  <c r="X454" i="5" s="1"/>
  <c r="T465" i="5"/>
  <c r="T454" i="5" s="1"/>
  <c r="Y363" i="5"/>
  <c r="U363" i="5"/>
  <c r="T332" i="5"/>
  <c r="T331" i="5" s="1"/>
  <c r="K465" i="5"/>
  <c r="K454" i="5" s="1"/>
  <c r="W446" i="5"/>
  <c r="W445" i="5" s="1"/>
  <c r="W439" i="5" s="1"/>
  <c r="S446" i="5"/>
  <c r="S445" i="5" s="1"/>
  <c r="O446" i="5"/>
  <c r="O445" i="5" s="1"/>
  <c r="O439" i="5" s="1"/>
  <c r="K446" i="5"/>
  <c r="K445" i="5" s="1"/>
  <c r="X446" i="5"/>
  <c r="X445" i="5" s="1"/>
  <c r="X439" i="5" s="1"/>
  <c r="T446" i="5"/>
  <c r="T445" i="5" s="1"/>
  <c r="P446" i="5"/>
  <c r="P445" i="5" s="1"/>
  <c r="P439" i="5" s="1"/>
  <c r="L446" i="5"/>
  <c r="L445" i="5" s="1"/>
  <c r="L439" i="5" s="1"/>
  <c r="N420" i="5"/>
  <c r="O420" i="5"/>
  <c r="Q408" i="5"/>
  <c r="X380" i="5"/>
  <c r="T380" i="5"/>
  <c r="P380" i="5"/>
  <c r="L380" i="5"/>
  <c r="Y380" i="5"/>
  <c r="U380" i="5"/>
  <c r="Q380" i="5"/>
  <c r="M380" i="5"/>
  <c r="Z372" i="5"/>
  <c r="V372" i="5"/>
  <c r="V371" i="5" s="1"/>
  <c r="R372" i="5"/>
  <c r="R371" i="5" s="1"/>
  <c r="N372" i="5"/>
  <c r="R363" i="5"/>
  <c r="O363" i="5"/>
  <c r="V355" i="5"/>
  <c r="L355" i="5"/>
  <c r="L351" i="5" s="1"/>
  <c r="X355" i="5"/>
  <c r="O355" i="5"/>
  <c r="O351" i="5" s="1"/>
  <c r="U355" i="5"/>
  <c r="K355" i="5"/>
  <c r="K351" i="5" s="1"/>
  <c r="U332" i="5"/>
  <c r="U331" i="5" s="1"/>
  <c r="Z332" i="5"/>
  <c r="S332" i="5"/>
  <c r="S331" i="5" s="1"/>
  <c r="P332" i="5"/>
  <c r="P331" i="5" s="1"/>
  <c r="N491" i="5"/>
  <c r="V491" i="5"/>
  <c r="J465" i="5"/>
  <c r="J454" i="5" s="1"/>
  <c r="V332" i="5"/>
  <c r="V331" i="5" s="1"/>
  <c r="L332" i="5"/>
  <c r="L331" i="5" s="1"/>
  <c r="W264" i="5"/>
  <c r="Z264" i="5" s="1"/>
  <c r="U260" i="5"/>
  <c r="O260" i="5"/>
  <c r="Z244" i="5"/>
  <c r="V244" i="5"/>
  <c r="X239" i="5"/>
  <c r="T239" i="5"/>
  <c r="P239" i="5"/>
  <c r="L239" i="5"/>
  <c r="W228" i="5"/>
  <c r="Z194" i="5"/>
  <c r="Z193" i="5" s="1"/>
  <c r="V194" i="5"/>
  <c r="V193" i="5" s="1"/>
  <c r="R194" i="5"/>
  <c r="R193" i="5" s="1"/>
  <c r="N194" i="5"/>
  <c r="N193" i="5" s="1"/>
  <c r="J194" i="5"/>
  <c r="J193" i="5" s="1"/>
  <c r="S165" i="5"/>
  <c r="K165" i="5"/>
  <c r="X167" i="5"/>
  <c r="X166" i="5" s="1"/>
  <c r="X165" i="5" s="1"/>
  <c r="T167" i="5"/>
  <c r="T166" i="5" s="1"/>
  <c r="T165" i="5" s="1"/>
  <c r="P167" i="5"/>
  <c r="P166" i="5" s="1"/>
  <c r="P165" i="5" s="1"/>
  <c r="L167" i="5"/>
  <c r="L166" i="5" s="1"/>
  <c r="L165" i="5" s="1"/>
  <c r="R159" i="5"/>
  <c r="W159" i="5"/>
  <c r="S159" i="5"/>
  <c r="W154" i="5"/>
  <c r="W153" i="5" s="1"/>
  <c r="S154" i="5"/>
  <c r="O154" i="5"/>
  <c r="K154" i="5"/>
  <c r="K153" i="5" s="1"/>
  <c r="Z112" i="5"/>
  <c r="Z111" i="5" s="1"/>
  <c r="V112" i="5"/>
  <c r="V111" i="5" s="1"/>
  <c r="R112" i="5"/>
  <c r="N112" i="5"/>
  <c r="N111" i="5" s="1"/>
  <c r="J112" i="5"/>
  <c r="J111" i="5" s="1"/>
  <c r="R59" i="5"/>
  <c r="R56" i="5" s="1"/>
  <c r="R54" i="5"/>
  <c r="R53" i="5" s="1"/>
  <c r="X19" i="5"/>
  <c r="T19" i="5"/>
  <c r="P19" i="5"/>
  <c r="L19" i="5"/>
  <c r="Y19" i="5"/>
  <c r="U19" i="5"/>
  <c r="Q19" i="5"/>
  <c r="M19" i="5"/>
  <c r="M18" i="5" s="1"/>
  <c r="U244" i="5"/>
  <c r="Q244" i="5"/>
  <c r="M244" i="5"/>
  <c r="S77" i="5"/>
  <c r="S76" i="5" s="1"/>
  <c r="S75" i="5" s="1"/>
  <c r="R46" i="5"/>
  <c r="R45" i="5" s="1"/>
  <c r="R44" i="5" s="1"/>
  <c r="P24" i="5"/>
  <c r="P18" i="5" s="1"/>
  <c r="L24" i="5"/>
  <c r="N332" i="5"/>
  <c r="J332" i="5"/>
  <c r="J331" i="5" s="1"/>
  <c r="S262" i="5"/>
  <c r="S261" i="5" s="1"/>
  <c r="S260" i="5" s="1"/>
  <c r="N250" i="5"/>
  <c r="P244" i="5"/>
  <c r="Z239" i="5"/>
  <c r="V239" i="5"/>
  <c r="R239" i="5"/>
  <c r="N239" i="5"/>
  <c r="J239" i="5"/>
  <c r="L229" i="5"/>
  <c r="L228" i="5" s="1"/>
  <c r="Q228" i="5"/>
  <c r="J229" i="5"/>
  <c r="X194" i="5"/>
  <c r="X193" i="5" s="1"/>
  <c r="T194" i="5"/>
  <c r="T193" i="5" s="1"/>
  <c r="P194" i="5"/>
  <c r="P193" i="5" s="1"/>
  <c r="L194" i="5"/>
  <c r="L193" i="5" s="1"/>
  <c r="U165" i="5"/>
  <c r="M165" i="5"/>
  <c r="Z167" i="5"/>
  <c r="Z166" i="5" s="1"/>
  <c r="V167" i="5"/>
  <c r="V166" i="5" s="1"/>
  <c r="V165" i="5" s="1"/>
  <c r="R167" i="5"/>
  <c r="R166" i="5" s="1"/>
  <c r="N167" i="5"/>
  <c r="N166" i="5" s="1"/>
  <c r="J167" i="5"/>
  <c r="J166" i="5" s="1"/>
  <c r="J165" i="5" s="1"/>
  <c r="Y159" i="5"/>
  <c r="U159" i="5"/>
  <c r="P159" i="5"/>
  <c r="P153" i="5" s="1"/>
  <c r="Y154" i="5"/>
  <c r="U154" i="5"/>
  <c r="Q154" i="5"/>
  <c r="M154" i="5"/>
  <c r="M153" i="5" s="1"/>
  <c r="X112" i="5"/>
  <c r="T112" i="5"/>
  <c r="P112" i="5"/>
  <c r="P111" i="5" s="1"/>
  <c r="L112" i="5"/>
  <c r="R85" i="5"/>
  <c r="R84" i="5" s="1"/>
  <c r="R82" i="5"/>
  <c r="R81" i="5" s="1"/>
  <c r="X80" i="5"/>
  <c r="X79" i="5" s="1"/>
  <c r="X78" i="5" s="1"/>
  <c r="Z65" i="5"/>
  <c r="N67" i="5"/>
  <c r="N66" i="5" s="1"/>
  <c r="R68" i="5"/>
  <c r="R67" i="5" s="1"/>
  <c r="R66" i="5" s="1"/>
  <c r="Z19" i="5"/>
  <c r="V19" i="5"/>
  <c r="R19" i="5"/>
  <c r="N19" i="5"/>
  <c r="J19" i="5"/>
  <c r="W19" i="5"/>
  <c r="S19" i="5"/>
  <c r="O19" i="5"/>
  <c r="K19" i="5"/>
  <c r="K18" i="5" s="1"/>
  <c r="W244" i="5"/>
  <c r="Y228" i="5"/>
  <c r="R24" i="5"/>
  <c r="N24" i="5"/>
  <c r="N18" i="5" s="1"/>
  <c r="X818" i="3"/>
  <c r="X817" i="3" s="1"/>
  <c r="X816" i="3" s="1"/>
  <c r="X815" i="3" s="1"/>
  <c r="V818" i="3"/>
  <c r="V817" i="3" s="1"/>
  <c r="V816" i="3" s="1"/>
  <c r="V815" i="3" s="1"/>
  <c r="Q805" i="3"/>
  <c r="Q804" i="3" s="1"/>
  <c r="Q803" i="3" s="1"/>
  <c r="Q802" i="3" s="1"/>
  <c r="AA805" i="3"/>
  <c r="AA804" i="3" s="1"/>
  <c r="AA803" i="3" s="1"/>
  <c r="AA802" i="3" s="1"/>
  <c r="AB791" i="3"/>
  <c r="AB790" i="3" s="1"/>
  <c r="AB785" i="3" s="1"/>
  <c r="AB784" i="3" s="1"/>
  <c r="Z791" i="3"/>
  <c r="Z790" i="3" s="1"/>
  <c r="Z785" i="3" s="1"/>
  <c r="Z784" i="3" s="1"/>
  <c r="X791" i="3"/>
  <c r="X790" i="3" s="1"/>
  <c r="X785" i="3" s="1"/>
  <c r="X784" i="3" s="1"/>
  <c r="V791" i="3"/>
  <c r="V790" i="3" s="1"/>
  <c r="V785" i="3" s="1"/>
  <c r="V784" i="3" s="1"/>
  <c r="T791" i="3"/>
  <c r="T790" i="3" s="1"/>
  <c r="T785" i="3" s="1"/>
  <c r="T784" i="3" s="1"/>
  <c r="R791" i="3"/>
  <c r="R790" i="3" s="1"/>
  <c r="R785" i="3" s="1"/>
  <c r="R784" i="3" s="1"/>
  <c r="P791" i="3"/>
  <c r="P790" i="3" s="1"/>
  <c r="P785" i="3" s="1"/>
  <c r="P784" i="3" s="1"/>
  <c r="N791" i="3"/>
  <c r="N790" i="3" s="1"/>
  <c r="N785" i="3" s="1"/>
  <c r="N784" i="3" s="1"/>
  <c r="AB787" i="3"/>
  <c r="X787" i="3"/>
  <c r="T787" i="3"/>
  <c r="P787" i="3"/>
  <c r="P747" i="3"/>
  <c r="P746" i="3" s="1"/>
  <c r="P374" i="3"/>
  <c r="P373" i="3" s="1"/>
  <c r="P369" i="3" s="1"/>
  <c r="P364" i="3" s="1"/>
  <c r="T374" i="3"/>
  <c r="T373" i="3" s="1"/>
  <c r="T369" i="3" s="1"/>
  <c r="T364" i="3" s="1"/>
  <c r="O374" i="3"/>
  <c r="O373" i="3" s="1"/>
  <c r="O369" i="3" s="1"/>
  <c r="O364" i="3" s="1"/>
  <c r="G36" i="4" s="1"/>
  <c r="R331" i="3"/>
  <c r="R330" i="3" s="1"/>
  <c r="R329" i="3" s="1"/>
  <c r="R328" i="3" s="1"/>
  <c r="U332" i="3"/>
  <c r="U331" i="3" s="1"/>
  <c r="U330" i="3" s="1"/>
  <c r="U329" i="3" s="1"/>
  <c r="U328" i="3" s="1"/>
  <c r="L282" i="3"/>
  <c r="Z227" i="3"/>
  <c r="V227" i="3"/>
  <c r="T227" i="3"/>
  <c r="P227" i="3"/>
  <c r="L227" i="3"/>
  <c r="R100" i="3"/>
  <c r="R99" i="3" s="1"/>
  <c r="U101" i="3"/>
  <c r="U100" i="3" s="1"/>
  <c r="U99" i="3" s="1"/>
  <c r="W91" i="3"/>
  <c r="W90" i="3" s="1"/>
  <c r="Z92" i="3"/>
  <c r="Z91" i="3" s="1"/>
  <c r="Z90" i="3" s="1"/>
  <c r="Z818" i="3"/>
  <c r="Z817" i="3" s="1"/>
  <c r="Z816" i="3" s="1"/>
  <c r="Z815" i="3" s="1"/>
  <c r="R818" i="3"/>
  <c r="R817" i="3" s="1"/>
  <c r="R816" i="3" s="1"/>
  <c r="R815" i="3" s="1"/>
  <c r="N818" i="3"/>
  <c r="N817" i="3" s="1"/>
  <c r="N816" i="3" s="1"/>
  <c r="N815" i="3" s="1"/>
  <c r="V805" i="3"/>
  <c r="V804" i="3" s="1"/>
  <c r="V803" i="3" s="1"/>
  <c r="V802" i="3" s="1"/>
  <c r="N805" i="3"/>
  <c r="N804" i="3" s="1"/>
  <c r="N803" i="3" s="1"/>
  <c r="N802" i="3" s="1"/>
  <c r="Y805" i="3"/>
  <c r="Y804" i="3" s="1"/>
  <c r="Y803" i="3" s="1"/>
  <c r="Y802" i="3" s="1"/>
  <c r="W805" i="3"/>
  <c r="W804" i="3" s="1"/>
  <c r="W803" i="3" s="1"/>
  <c r="W802" i="3" s="1"/>
  <c r="S805" i="3"/>
  <c r="S804" i="3" s="1"/>
  <c r="S803" i="3" s="1"/>
  <c r="S802" i="3" s="1"/>
  <c r="O805" i="3"/>
  <c r="O804" i="3" s="1"/>
  <c r="O803" i="3" s="1"/>
  <c r="O802" i="3" s="1"/>
  <c r="S796" i="3"/>
  <c r="M791" i="3"/>
  <c r="M790" i="3" s="1"/>
  <c r="L790" i="3"/>
  <c r="Z787" i="3"/>
  <c r="V787" i="3"/>
  <c r="R787" i="3"/>
  <c r="N787" i="3"/>
  <c r="U760" i="3"/>
  <c r="U759" i="3" s="1"/>
  <c r="U758" i="3" s="1"/>
  <c r="Y675" i="3"/>
  <c r="Y674" i="3" s="1"/>
  <c r="Y673" i="3" s="1"/>
  <c r="U675" i="3"/>
  <c r="U674" i="3" s="1"/>
  <c r="U673" i="3" s="1"/>
  <c r="Q675" i="3"/>
  <c r="Q674" i="3" s="1"/>
  <c r="Q673" i="3" s="1"/>
  <c r="V657" i="3"/>
  <c r="V656" i="3" s="1"/>
  <c r="V655" i="3" s="1"/>
  <c r="V654" i="3" s="1"/>
  <c r="N657" i="3"/>
  <c r="N656" i="3" s="1"/>
  <c r="N655" i="3" s="1"/>
  <c r="N654" i="3" s="1"/>
  <c r="V559" i="3"/>
  <c r="N560" i="3"/>
  <c r="N559" i="3" s="1"/>
  <c r="Y559" i="3"/>
  <c r="S559" i="3"/>
  <c r="O560" i="3"/>
  <c r="O559" i="3" s="1"/>
  <c r="V551" i="3"/>
  <c r="V550" i="3" s="1"/>
  <c r="P551" i="3"/>
  <c r="AB510" i="3"/>
  <c r="AB509" i="3" s="1"/>
  <c r="T65" i="4" s="1"/>
  <c r="Z510" i="3"/>
  <c r="Z509" i="3" s="1"/>
  <c r="R65" i="4" s="1"/>
  <c r="X510" i="3"/>
  <c r="X509" i="3" s="1"/>
  <c r="P65" i="4" s="1"/>
  <c r="V510" i="3"/>
  <c r="V509" i="3" s="1"/>
  <c r="N65" i="4" s="1"/>
  <c r="P510" i="3"/>
  <c r="P509" i="3" s="1"/>
  <c r="H65" i="4" s="1"/>
  <c r="W489" i="3"/>
  <c r="Y478" i="3"/>
  <c r="Y474" i="3" s="1"/>
  <c r="Y473" i="3" s="1"/>
  <c r="Q61" i="4" s="1"/>
  <c r="Q478" i="3"/>
  <c r="Q474" i="3" s="1"/>
  <c r="Q473" i="3" s="1"/>
  <c r="I61" i="4" s="1"/>
  <c r="AA478" i="3"/>
  <c r="AA474" i="3" s="1"/>
  <c r="AA473" i="3" s="1"/>
  <c r="S61" i="4" s="1"/>
  <c r="O478" i="3"/>
  <c r="O474" i="3" s="1"/>
  <c r="O473" i="3" s="1"/>
  <c r="G61" i="4" s="1"/>
  <c r="W325" i="3"/>
  <c r="W322" i="3" s="1"/>
  <c r="W321" i="3" s="1"/>
  <c r="W320" i="3" s="1"/>
  <c r="Z326" i="3"/>
  <c r="Z325" i="3" s="1"/>
  <c r="O325" i="3"/>
  <c r="O322" i="3" s="1"/>
  <c r="O321" i="3" s="1"/>
  <c r="O320" i="3" s="1"/>
  <c r="P326" i="3"/>
  <c r="R325" i="3"/>
  <c r="R322" i="3" s="1"/>
  <c r="R321" i="3" s="1"/>
  <c r="R320" i="3" s="1"/>
  <c r="Z292" i="3"/>
  <c r="V292" i="3"/>
  <c r="Q292" i="3"/>
  <c r="Y292" i="3"/>
  <c r="W292" i="3"/>
  <c r="W282" i="3"/>
  <c r="M282" i="3"/>
  <c r="N585" i="3"/>
  <c r="N584" i="3" s="1"/>
  <c r="X559" i="3"/>
  <c r="T559" i="3"/>
  <c r="R559" i="3"/>
  <c r="L560" i="3"/>
  <c r="L559" i="3" s="1"/>
  <c r="Q559" i="3"/>
  <c r="Q545" i="3" s="1"/>
  <c r="Q544" i="3" s="1"/>
  <c r="M560" i="3"/>
  <c r="M559" i="3" s="1"/>
  <c r="W551" i="3"/>
  <c r="W550" i="3" s="1"/>
  <c r="O551" i="3"/>
  <c r="O550" i="3" s="1"/>
  <c r="AB551" i="3"/>
  <c r="AB550" i="3" s="1"/>
  <c r="Y551" i="3"/>
  <c r="Y550" i="3" s="1"/>
  <c r="U551" i="3"/>
  <c r="U550" i="3" s="1"/>
  <c r="Q551" i="3"/>
  <c r="Q550" i="3" s="1"/>
  <c r="M551" i="3"/>
  <c r="M550" i="3" s="1"/>
  <c r="X551" i="3"/>
  <c r="X550" i="3" s="1"/>
  <c r="N551" i="3"/>
  <c r="N550" i="3" s="1"/>
  <c r="AA533" i="3"/>
  <c r="AA532" i="3" s="1"/>
  <c r="AA527" i="3" s="1"/>
  <c r="AA526" i="3" s="1"/>
  <c r="Y533" i="3"/>
  <c r="Y532" i="3" s="1"/>
  <c r="Y527" i="3" s="1"/>
  <c r="Y526" i="3" s="1"/>
  <c r="W533" i="3"/>
  <c r="W532" i="3" s="1"/>
  <c r="W527" i="3" s="1"/>
  <c r="W526" i="3" s="1"/>
  <c r="U533" i="3"/>
  <c r="U532" i="3" s="1"/>
  <c r="U527" i="3" s="1"/>
  <c r="U526" i="3" s="1"/>
  <c r="S533" i="3"/>
  <c r="S532" i="3" s="1"/>
  <c r="S527" i="3" s="1"/>
  <c r="S526" i="3" s="1"/>
  <c r="Q533" i="3"/>
  <c r="Q532" i="3" s="1"/>
  <c r="Q527" i="3" s="1"/>
  <c r="Q526" i="3" s="1"/>
  <c r="O533" i="3"/>
  <c r="O532" i="3" s="1"/>
  <c r="O527" i="3" s="1"/>
  <c r="O526" i="3" s="1"/>
  <c r="M533" i="3"/>
  <c r="M532" i="3" s="1"/>
  <c r="M527" i="3" s="1"/>
  <c r="M526" i="3" s="1"/>
  <c r="AB533" i="3"/>
  <c r="AB532" i="3" s="1"/>
  <c r="AB527" i="3" s="1"/>
  <c r="AB526" i="3" s="1"/>
  <c r="Z533" i="3"/>
  <c r="Z532" i="3" s="1"/>
  <c r="Z527" i="3" s="1"/>
  <c r="Z526" i="3" s="1"/>
  <c r="X533" i="3"/>
  <c r="X532" i="3" s="1"/>
  <c r="X527" i="3" s="1"/>
  <c r="X526" i="3" s="1"/>
  <c r="V533" i="3"/>
  <c r="V532" i="3" s="1"/>
  <c r="V527" i="3" s="1"/>
  <c r="V526" i="3" s="1"/>
  <c r="T533" i="3"/>
  <c r="T532" i="3" s="1"/>
  <c r="T527" i="3" s="1"/>
  <c r="T526" i="3" s="1"/>
  <c r="R533" i="3"/>
  <c r="R532" i="3" s="1"/>
  <c r="P533" i="3"/>
  <c r="P532" i="3" s="1"/>
  <c r="P527" i="3" s="1"/>
  <c r="P526" i="3" s="1"/>
  <c r="N533" i="3"/>
  <c r="N532" i="3" s="1"/>
  <c r="N527" i="3" s="1"/>
  <c r="N526" i="3" s="1"/>
  <c r="L533" i="3"/>
  <c r="L532" i="3" s="1"/>
  <c r="L527" i="3" s="1"/>
  <c r="L526" i="3" s="1"/>
  <c r="W510" i="3"/>
  <c r="W509" i="3" s="1"/>
  <c r="O65" i="4" s="1"/>
  <c r="Q510" i="3"/>
  <c r="Q509" i="3" s="1"/>
  <c r="T504" i="3"/>
  <c r="AB489" i="3"/>
  <c r="Z489" i="3"/>
  <c r="Z484" i="3" s="1"/>
  <c r="R63" i="4" s="1"/>
  <c r="X489" i="3"/>
  <c r="V489" i="3"/>
  <c r="P489" i="3"/>
  <c r="X478" i="3"/>
  <c r="X474" i="3" s="1"/>
  <c r="X473" i="3" s="1"/>
  <c r="P61" i="4" s="1"/>
  <c r="R478" i="3"/>
  <c r="R474" i="3" s="1"/>
  <c r="R473" i="3" s="1"/>
  <c r="J61" i="4" s="1"/>
  <c r="Z478" i="3"/>
  <c r="Z474" i="3" s="1"/>
  <c r="Z473" i="3" s="1"/>
  <c r="R61" i="4" s="1"/>
  <c r="V478" i="3"/>
  <c r="V474" i="3" s="1"/>
  <c r="V473" i="3" s="1"/>
  <c r="N61" i="4" s="1"/>
  <c r="L478" i="3"/>
  <c r="L474" i="3" s="1"/>
  <c r="L473" i="3" s="1"/>
  <c r="D61" i="4" s="1"/>
  <c r="W478" i="3"/>
  <c r="W474" i="3" s="1"/>
  <c r="W473" i="3" s="1"/>
  <c r="O61" i="4" s="1"/>
  <c r="S478" i="3"/>
  <c r="S474" i="3" s="1"/>
  <c r="S473" i="3" s="1"/>
  <c r="K61" i="4" s="1"/>
  <c r="M478" i="3"/>
  <c r="M474" i="3" s="1"/>
  <c r="M473" i="3" s="1"/>
  <c r="E61" i="4" s="1"/>
  <c r="AA444" i="3"/>
  <c r="AA443" i="3" s="1"/>
  <c r="AA442" i="3" s="1"/>
  <c r="Z396" i="3"/>
  <c r="V396" i="3"/>
  <c r="AA391" i="3"/>
  <c r="Y391" i="3"/>
  <c r="W391" i="3"/>
  <c r="U391" i="3"/>
  <c r="S391" i="3"/>
  <c r="Q391" i="3"/>
  <c r="O391" i="3"/>
  <c r="AA339" i="3"/>
  <c r="AA338" i="3" s="1"/>
  <c r="AA337" i="3" s="1"/>
  <c r="S32" i="4" s="1"/>
  <c r="Y339" i="3"/>
  <c r="Y338" i="3" s="1"/>
  <c r="Y337" i="3" s="1"/>
  <c r="Q32" i="4" s="1"/>
  <c r="W339" i="3"/>
  <c r="W338" i="3" s="1"/>
  <c r="W337" i="3" s="1"/>
  <c r="O32" i="4" s="1"/>
  <c r="U339" i="3"/>
  <c r="U338" i="3" s="1"/>
  <c r="U337" i="3" s="1"/>
  <c r="M32" i="4" s="1"/>
  <c r="S339" i="3"/>
  <c r="S338" i="3" s="1"/>
  <c r="S337" i="3" s="1"/>
  <c r="K32" i="4" s="1"/>
  <c r="Q339" i="3"/>
  <c r="Q338" i="3" s="1"/>
  <c r="Q337" i="3" s="1"/>
  <c r="I32" i="4" s="1"/>
  <c r="O339" i="3"/>
  <c r="O338" i="3" s="1"/>
  <c r="O337" i="3" s="1"/>
  <c r="G32" i="4" s="1"/>
  <c r="M339" i="3"/>
  <c r="M338" i="3" s="1"/>
  <c r="M337" i="3" s="1"/>
  <c r="E32" i="4" s="1"/>
  <c r="E31" i="4" s="1"/>
  <c r="AA322" i="3"/>
  <c r="AA321" i="3" s="1"/>
  <c r="AA320" i="3" s="1"/>
  <c r="AA319" i="3" s="1"/>
  <c r="X322" i="3"/>
  <c r="X321" i="3" s="1"/>
  <c r="X320" i="3" s="1"/>
  <c r="X319" i="3" s="1"/>
  <c r="N322" i="3"/>
  <c r="N321" i="3" s="1"/>
  <c r="N320" i="3" s="1"/>
  <c r="N319" i="3" s="1"/>
  <c r="AB292" i="3"/>
  <c r="AA292" i="3"/>
  <c r="X292" i="3"/>
  <c r="S292" i="3"/>
  <c r="P292" i="3"/>
  <c r="N292" i="3"/>
  <c r="L292" i="3"/>
  <c r="Y282" i="3"/>
  <c r="U282" i="3"/>
  <c r="Q282" i="3"/>
  <c r="S282" i="3"/>
  <c r="O282" i="3"/>
  <c r="AA274" i="3"/>
  <c r="Y274" i="3"/>
  <c r="W274" i="3"/>
  <c r="O274" i="3"/>
  <c r="AB237" i="3"/>
  <c r="Y237" i="3"/>
  <c r="U237" i="3"/>
  <c r="Q237" i="3"/>
  <c r="N237" i="3"/>
  <c r="X237" i="3"/>
  <c r="S237" i="3"/>
  <c r="O237" i="3"/>
  <c r="Y232" i="3"/>
  <c r="U232" i="3"/>
  <c r="Q232" i="3"/>
  <c r="W213" i="3"/>
  <c r="W212" i="3" s="1"/>
  <c r="Z237" i="3"/>
  <c r="V237" i="3"/>
  <c r="T237" i="3"/>
  <c r="P237" i="3"/>
  <c r="AA237" i="3"/>
  <c r="W237" i="3"/>
  <c r="R237" i="3"/>
  <c r="R232" i="3"/>
  <c r="AB227" i="3"/>
  <c r="N227" i="3"/>
  <c r="AA227" i="3"/>
  <c r="O227" i="3"/>
  <c r="AB222" i="3"/>
  <c r="Z222" i="3"/>
  <c r="X222" i="3"/>
  <c r="X219" i="3" s="1"/>
  <c r="V222" i="3"/>
  <c r="V219" i="3" s="1"/>
  <c r="T222" i="3"/>
  <c r="R222" i="3"/>
  <c r="R219" i="3" s="1"/>
  <c r="P222" i="3"/>
  <c r="N222" i="3"/>
  <c r="L222" i="3"/>
  <c r="M212" i="3"/>
  <c r="M211" i="3" s="1"/>
  <c r="M206" i="3" s="1"/>
  <c r="E21" i="4" s="1"/>
  <c r="N173" i="3"/>
  <c r="N172" i="3" s="1"/>
  <c r="N171" i="3" s="1"/>
  <c r="N170" i="3" s="1"/>
  <c r="N169" i="3" s="1"/>
  <c r="O173" i="3"/>
  <c r="O172" i="3" s="1"/>
  <c r="O171" i="3" s="1"/>
  <c r="O170" i="3" s="1"/>
  <c r="O169" i="3" s="1"/>
  <c r="AA127" i="3"/>
  <c r="Y127" i="3"/>
  <c r="W127" i="3"/>
  <c r="U127" i="3"/>
  <c r="S127" i="3"/>
  <c r="Q127" i="3"/>
  <c r="O127" i="3"/>
  <c r="M127" i="3"/>
  <c r="M126" i="3" s="1"/>
  <c r="M125" i="3" s="1"/>
  <c r="AB127" i="3"/>
  <c r="Z127" i="3"/>
  <c r="X127" i="3"/>
  <c r="V127" i="3"/>
  <c r="T127" i="3"/>
  <c r="R127" i="3"/>
  <c r="P127" i="3"/>
  <c r="N127" i="3"/>
  <c r="L127" i="3"/>
  <c r="L126" i="3" s="1"/>
  <c r="L125" i="3" s="1"/>
  <c r="X99" i="3"/>
  <c r="W99" i="3"/>
  <c r="Q99" i="3"/>
  <c r="Q89" i="3" s="1"/>
  <c r="Q88" i="3" s="1"/>
  <c r="N99" i="3"/>
  <c r="Y99" i="3"/>
  <c r="M99" i="3"/>
  <c r="M89" i="3" s="1"/>
  <c r="P49" i="3"/>
  <c r="P48" i="3" s="1"/>
  <c r="T50" i="3"/>
  <c r="T49" i="3" s="1"/>
  <c r="T48" i="3" s="1"/>
  <c r="T619" i="3"/>
  <c r="T614" i="3" s="1"/>
  <c r="E51" i="4"/>
  <c r="L689" i="3"/>
  <c r="L688" i="3" s="1"/>
  <c r="L687" i="3" s="1"/>
  <c r="D49" i="4" s="1"/>
  <c r="L600" i="3"/>
  <c r="L599" i="3" s="1"/>
  <c r="D42" i="4" s="1"/>
  <c r="R489" i="3"/>
  <c r="AB444" i="3"/>
  <c r="AB443" i="3" s="1"/>
  <c r="AB442" i="3" s="1"/>
  <c r="Z444" i="3"/>
  <c r="Z443" i="3" s="1"/>
  <c r="Z442" i="3" s="1"/>
  <c r="AB403" i="3"/>
  <c r="AB402" i="3" s="1"/>
  <c r="AB401" i="3" s="1"/>
  <c r="X403" i="3"/>
  <c r="X402" i="3" s="1"/>
  <c r="X401" i="3" s="1"/>
  <c r="V403" i="3"/>
  <c r="V402" i="3" s="1"/>
  <c r="V401" i="3" s="1"/>
  <c r="R403" i="3"/>
  <c r="R402" i="3" s="1"/>
  <c r="R401" i="3" s="1"/>
  <c r="N402" i="3"/>
  <c r="N401" i="3" s="1"/>
  <c r="Y689" i="3"/>
  <c r="Y688" i="3" s="1"/>
  <c r="Y687" i="3" s="1"/>
  <c r="U689" i="3"/>
  <c r="U688" i="3" s="1"/>
  <c r="U687" i="3" s="1"/>
  <c r="M714" i="3"/>
  <c r="AA689" i="3"/>
  <c r="AA688" i="3" s="1"/>
  <c r="AA687" i="3" s="1"/>
  <c r="W689" i="3"/>
  <c r="W688" i="3" s="1"/>
  <c r="W687" i="3" s="1"/>
  <c r="S689" i="3"/>
  <c r="S688" i="3" s="1"/>
  <c r="S687" i="3" s="1"/>
  <c r="Q689" i="3"/>
  <c r="Q688" i="3" s="1"/>
  <c r="Q687" i="3" s="1"/>
  <c r="M689" i="3"/>
  <c r="M688" i="3" s="1"/>
  <c r="M687" i="3" s="1"/>
  <c r="E49" i="4" s="1"/>
  <c r="Z403" i="3"/>
  <c r="Z402" i="3" s="1"/>
  <c r="Z401" i="3" s="1"/>
  <c r="X745" i="3"/>
  <c r="AB689" i="3"/>
  <c r="AB688" i="3" s="1"/>
  <c r="AB687" i="3" s="1"/>
  <c r="Z689" i="3"/>
  <c r="Z688" i="3" s="1"/>
  <c r="Z687" i="3" s="1"/>
  <c r="X689" i="3"/>
  <c r="X688" i="3" s="1"/>
  <c r="X687" i="3" s="1"/>
  <c r="V689" i="3"/>
  <c r="V688" i="3" s="1"/>
  <c r="V687" i="3" s="1"/>
  <c r="T689" i="3"/>
  <c r="T688" i="3" s="1"/>
  <c r="T687" i="3" s="1"/>
  <c r="R689" i="3"/>
  <c r="R688" i="3" s="1"/>
  <c r="R687" i="3" s="1"/>
  <c r="P689" i="3"/>
  <c r="P688" i="3" s="1"/>
  <c r="P687" i="3" s="1"/>
  <c r="N689" i="3"/>
  <c r="N688" i="3" s="1"/>
  <c r="N687" i="3" s="1"/>
  <c r="N686" i="3" s="1"/>
  <c r="N369" i="3"/>
  <c r="N364" i="3" s="1"/>
  <c r="F36" i="4" s="1"/>
  <c r="U344" i="3"/>
  <c r="M35" i="4" s="1"/>
  <c r="Q500" i="3"/>
  <c r="Q499" i="3" s="1"/>
  <c r="I64" i="4" s="1"/>
  <c r="AB435" i="3"/>
  <c r="AB434" i="3" s="1"/>
  <c r="Z435" i="3"/>
  <c r="Z434" i="3" s="1"/>
  <c r="X435" i="3"/>
  <c r="X434" i="3" s="1"/>
  <c r="V435" i="3"/>
  <c r="V434" i="3" s="1"/>
  <c r="T435" i="3"/>
  <c r="T434" i="3" s="1"/>
  <c r="R435" i="3"/>
  <c r="R434" i="3" s="1"/>
  <c r="P435" i="3"/>
  <c r="P434" i="3" s="1"/>
  <c r="Z427" i="3"/>
  <c r="Z426" i="3" s="1"/>
  <c r="Z415" i="3" s="1"/>
  <c r="V427" i="3"/>
  <c r="V426" i="3" s="1"/>
  <c r="R427" i="3"/>
  <c r="R426" i="3" s="1"/>
  <c r="R415" i="3" s="1"/>
  <c r="P427" i="3"/>
  <c r="P426" i="3" s="1"/>
  <c r="P415" i="3" s="1"/>
  <c r="R50" i="4"/>
  <c r="N50" i="4"/>
  <c r="J50" i="4"/>
  <c r="F50" i="4"/>
  <c r="X329" i="3"/>
  <c r="X328" i="3" s="1"/>
  <c r="X327" i="3" s="1"/>
  <c r="AA646" i="3"/>
  <c r="S45" i="4"/>
  <c r="S44" i="4" s="1"/>
  <c r="R646" i="3"/>
  <c r="J45" i="4"/>
  <c r="J44" i="4" s="1"/>
  <c r="O646" i="3"/>
  <c r="G45" i="4"/>
  <c r="G44" i="4" s="1"/>
  <c r="W646" i="3"/>
  <c r="O45" i="4"/>
  <c r="O44" i="4" s="1"/>
  <c r="O673" i="3"/>
  <c r="S646" i="3"/>
  <c r="K45" i="4"/>
  <c r="K44" i="4" s="1"/>
  <c r="W619" i="3"/>
  <c r="W614" i="3" s="1"/>
  <c r="U619" i="3"/>
  <c r="U614" i="3" s="1"/>
  <c r="S619" i="3"/>
  <c r="S614" i="3" s="1"/>
  <c r="Y585" i="3"/>
  <c r="Y584" i="3" s="1"/>
  <c r="U585" i="3"/>
  <c r="U584" i="3" s="1"/>
  <c r="AA585" i="3"/>
  <c r="AA584" i="3" s="1"/>
  <c r="S585" i="3"/>
  <c r="S584" i="3" s="1"/>
  <c r="O585" i="3"/>
  <c r="O584" i="3" s="1"/>
  <c r="U435" i="3"/>
  <c r="U434" i="3" s="1"/>
  <c r="AB427" i="3"/>
  <c r="AB426" i="3" s="1"/>
  <c r="AB415" i="3" s="1"/>
  <c r="X427" i="3"/>
  <c r="X426" i="3" s="1"/>
  <c r="P403" i="3"/>
  <c r="P402" i="3" s="1"/>
  <c r="P401" i="3" s="1"/>
  <c r="U274" i="3"/>
  <c r="F65" i="4"/>
  <c r="Q619" i="3"/>
  <c r="Q614" i="3" s="1"/>
  <c r="AA619" i="3"/>
  <c r="AA614" i="3" s="1"/>
  <c r="X619" i="3"/>
  <c r="X614" i="3" s="1"/>
  <c r="W585" i="3"/>
  <c r="W584" i="3" s="1"/>
  <c r="AA435" i="3"/>
  <c r="AA434" i="3" s="1"/>
  <c r="W435" i="3"/>
  <c r="W434" i="3" s="1"/>
  <c r="S435" i="3"/>
  <c r="S434" i="3" s="1"/>
  <c r="Y435" i="3"/>
  <c r="Y434" i="3" s="1"/>
  <c r="Q435" i="3"/>
  <c r="Q434" i="3" s="1"/>
  <c r="AB369" i="3"/>
  <c r="AB364" i="3" s="1"/>
  <c r="X369" i="3"/>
  <c r="X364" i="3" s="1"/>
  <c r="V369" i="3"/>
  <c r="V364" i="3" s="1"/>
  <c r="Q585" i="3"/>
  <c r="Q584" i="3" s="1"/>
  <c r="S500" i="3"/>
  <c r="S499" i="3" s="1"/>
  <c r="K64" i="4" s="1"/>
  <c r="R500" i="3"/>
  <c r="R499" i="3" s="1"/>
  <c r="J64" i="4" s="1"/>
  <c r="R444" i="3"/>
  <c r="R443" i="3" s="1"/>
  <c r="R442" i="3" s="1"/>
  <c r="Y329" i="3"/>
  <c r="Y328" i="3" s="1"/>
  <c r="Y327" i="3" s="1"/>
  <c r="Q329" i="3"/>
  <c r="Q328" i="3" s="1"/>
  <c r="Q327" i="3" s="1"/>
  <c r="AA329" i="3"/>
  <c r="AA328" i="3" s="1"/>
  <c r="AA327" i="3" s="1"/>
  <c r="S329" i="3"/>
  <c r="S328" i="3" s="1"/>
  <c r="S327" i="3" s="1"/>
  <c r="S274" i="3"/>
  <c r="Q274" i="3"/>
  <c r="N159" i="5"/>
  <c r="V65" i="5"/>
  <c r="T65" i="5"/>
  <c r="K65" i="5"/>
  <c r="Z159" i="5"/>
  <c r="Z153" i="5" s="1"/>
  <c r="X159" i="5"/>
  <c r="X153" i="5" s="1"/>
  <c r="V159" i="5"/>
  <c r="T159" i="5"/>
  <c r="T153" i="5" s="1"/>
  <c r="Q159" i="5"/>
  <c r="O159" i="5"/>
  <c r="M88" i="5"/>
  <c r="Y65" i="5"/>
  <c r="W65" i="5"/>
  <c r="Q65" i="5"/>
  <c r="O65" i="5"/>
  <c r="Z115" i="3"/>
  <c r="R115" i="3"/>
  <c r="D62" i="4"/>
  <c r="E62" i="4"/>
  <c r="AA21" i="3"/>
  <c r="AA20" i="3" s="1"/>
  <c r="S47" i="4" s="1"/>
  <c r="Y21" i="3"/>
  <c r="Y20" i="3" s="1"/>
  <c r="Q47" i="4" s="1"/>
  <c r="W21" i="3"/>
  <c r="W20" i="3" s="1"/>
  <c r="O47" i="4" s="1"/>
  <c r="S21" i="3"/>
  <c r="S20" i="3" s="1"/>
  <c r="K47" i="4" s="1"/>
  <c r="Q21" i="3"/>
  <c r="Q20" i="3" s="1"/>
  <c r="I47" i="4" s="1"/>
  <c r="O21" i="3"/>
  <c r="O20" i="3" s="1"/>
  <c r="G47" i="4" s="1"/>
  <c r="AB132" i="3"/>
  <c r="Z132" i="3"/>
  <c r="X132" i="3"/>
  <c r="V132" i="3"/>
  <c r="T132" i="3"/>
  <c r="R132" i="3"/>
  <c r="P132" i="3"/>
  <c r="N132" i="3"/>
  <c r="AA132" i="3"/>
  <c r="Y132" i="3"/>
  <c r="W132" i="3"/>
  <c r="U132" i="3"/>
  <c r="S132" i="3"/>
  <c r="Q132" i="3"/>
  <c r="O132" i="3"/>
  <c r="V846" i="3"/>
  <c r="Y846" i="3"/>
  <c r="R846" i="3"/>
  <c r="N846" i="3"/>
  <c r="V745" i="3"/>
  <c r="R745" i="3"/>
  <c r="L745" i="3"/>
  <c r="M745" i="3"/>
  <c r="P730" i="3"/>
  <c r="T732" i="3"/>
  <c r="T731" i="3" s="1"/>
  <c r="T730" i="3" s="1"/>
  <c r="AB846" i="3"/>
  <c r="AA846" i="3"/>
  <c r="U846" i="3"/>
  <c r="S846" i="3"/>
  <c r="T846" i="3"/>
  <c r="P846" i="3"/>
  <c r="G30" i="4"/>
  <c r="G28" i="4" s="1"/>
  <c r="O823" i="3"/>
  <c r="M786" i="3"/>
  <c r="M787" i="3"/>
  <c r="AA745" i="3"/>
  <c r="W745" i="3"/>
  <c r="S745" i="3"/>
  <c r="O745" i="3"/>
  <c r="L714" i="3"/>
  <c r="O714" i="3"/>
  <c r="F51" i="4"/>
  <c r="N673" i="3"/>
  <c r="R45" i="4"/>
  <c r="R44" i="4" s="1"/>
  <c r="Z646" i="3"/>
  <c r="AB646" i="3"/>
  <c r="T45" i="4"/>
  <c r="T44" i="4" s="1"/>
  <c r="X646" i="3"/>
  <c r="P45" i="4"/>
  <c r="P44" i="4" s="1"/>
  <c r="N45" i="4"/>
  <c r="N44" i="4" s="1"/>
  <c r="V646" i="3"/>
  <c r="H45" i="4"/>
  <c r="H44" i="4" s="1"/>
  <c r="F45" i="4"/>
  <c r="F44" i="4" s="1"/>
  <c r="N646" i="3"/>
  <c r="L646" i="3"/>
  <c r="D45" i="4"/>
  <c r="D44" i="4" s="1"/>
  <c r="Q646" i="3"/>
  <c r="I45" i="4"/>
  <c r="I44" i="4" s="1"/>
  <c r="M646" i="3"/>
  <c r="E45" i="4"/>
  <c r="E44" i="4" s="1"/>
  <c r="Z846" i="3"/>
  <c r="Q846" i="3"/>
  <c r="W846" i="3"/>
  <c r="O846" i="3"/>
  <c r="X846" i="3"/>
  <c r="N832" i="3"/>
  <c r="N823" i="3"/>
  <c r="F30" i="4"/>
  <c r="F28" i="4" s="1"/>
  <c r="U818" i="3"/>
  <c r="U817" i="3" s="1"/>
  <c r="N745" i="3"/>
  <c r="Q745" i="3"/>
  <c r="G51" i="4"/>
  <c r="Y646" i="3"/>
  <c r="Q45" i="4"/>
  <c r="Q44" i="4" s="1"/>
  <c r="U646" i="3"/>
  <c r="M45" i="4"/>
  <c r="M44" i="4" s="1"/>
  <c r="T646" i="3"/>
  <c r="L45" i="4"/>
  <c r="L44" i="4" s="1"/>
  <c r="Z807" i="3"/>
  <c r="Z806" i="3" s="1"/>
  <c r="Z805" i="3" s="1"/>
  <c r="Z804" i="3" s="1"/>
  <c r="Z803" i="3" s="1"/>
  <c r="Z802" i="3" s="1"/>
  <c r="U807" i="3"/>
  <c r="U806" i="3" s="1"/>
  <c r="U805" i="3" s="1"/>
  <c r="U804" i="3" s="1"/>
  <c r="U803" i="3" s="1"/>
  <c r="U802" i="3" s="1"/>
  <c r="P807" i="3"/>
  <c r="P806" i="3" s="1"/>
  <c r="P805" i="3" s="1"/>
  <c r="P804" i="3" s="1"/>
  <c r="P803" i="3" s="1"/>
  <c r="P802" i="3" s="1"/>
  <c r="AA787" i="3"/>
  <c r="Y787" i="3"/>
  <c r="W787" i="3"/>
  <c r="U787" i="3"/>
  <c r="S787" i="3"/>
  <c r="Q787" i="3"/>
  <c r="O787" i="3"/>
  <c r="T765" i="3"/>
  <c r="T764" i="3" s="1"/>
  <c r="T762" i="3"/>
  <c r="T761" i="3" s="1"/>
  <c r="Z760" i="3"/>
  <c r="Z759" i="3" s="1"/>
  <c r="Z758" i="3" s="1"/>
  <c r="P760" i="3"/>
  <c r="Z757" i="3"/>
  <c r="U757" i="3"/>
  <c r="P757" i="3"/>
  <c r="T740" i="3"/>
  <c r="T739" i="3" s="1"/>
  <c r="T737" i="3"/>
  <c r="T736" i="3" s="1"/>
  <c r="O689" i="3"/>
  <c r="O688" i="3" s="1"/>
  <c r="O687" i="3" s="1"/>
  <c r="O686" i="3" s="1"/>
  <c r="AB675" i="3"/>
  <c r="AB674" i="3" s="1"/>
  <c r="X675" i="3"/>
  <c r="X674" i="3" s="1"/>
  <c r="P675" i="3"/>
  <c r="P674" i="3" s="1"/>
  <c r="AA657" i="3"/>
  <c r="AA656" i="3" s="1"/>
  <c r="AA655" i="3" s="1"/>
  <c r="AA654" i="3" s="1"/>
  <c r="Y657" i="3"/>
  <c r="W657" i="3"/>
  <c r="W656" i="3" s="1"/>
  <c r="W655" i="3" s="1"/>
  <c r="W654" i="3" s="1"/>
  <c r="U657" i="3"/>
  <c r="S657" i="3"/>
  <c r="S656" i="3" s="1"/>
  <c r="S655" i="3" s="1"/>
  <c r="Q657" i="3"/>
  <c r="Q656" i="3" s="1"/>
  <c r="Q655" i="3" s="1"/>
  <c r="Q654" i="3" s="1"/>
  <c r="O657" i="3"/>
  <c r="O656" i="3" s="1"/>
  <c r="O655" i="3" s="1"/>
  <c r="O654" i="3" s="1"/>
  <c r="M657" i="3"/>
  <c r="M656" i="3" s="1"/>
  <c r="M655" i="3" s="1"/>
  <c r="N626" i="3"/>
  <c r="F43" i="4" s="1"/>
  <c r="Z619" i="3"/>
  <c r="Z614" i="3" s="1"/>
  <c r="V619" i="3"/>
  <c r="V614" i="3" s="1"/>
  <c r="R619" i="3"/>
  <c r="R614" i="3" s="1"/>
  <c r="Z585" i="3"/>
  <c r="Z584" i="3" s="1"/>
  <c r="T585" i="3"/>
  <c r="T584" i="3" s="1"/>
  <c r="R585" i="3"/>
  <c r="R584" i="3" s="1"/>
  <c r="R527" i="3"/>
  <c r="R526" i="3" s="1"/>
  <c r="AA510" i="3"/>
  <c r="AA509" i="3" s="1"/>
  <c r="S65" i="4" s="1"/>
  <c r="Y510" i="3"/>
  <c r="Y509" i="3" s="1"/>
  <c r="Q65" i="4" s="1"/>
  <c r="U510" i="3"/>
  <c r="U509" i="3" s="1"/>
  <c r="M65" i="4" s="1"/>
  <c r="S510" i="3"/>
  <c r="S509" i="3" s="1"/>
  <c r="K65" i="4" s="1"/>
  <c r="T510" i="3"/>
  <c r="T509" i="3" s="1"/>
  <c r="L65" i="4" s="1"/>
  <c r="AA489" i="3"/>
  <c r="AA484" i="3" s="1"/>
  <c r="Y489" i="3"/>
  <c r="Y484" i="3" s="1"/>
  <c r="U489" i="3"/>
  <c r="U484" i="3" s="1"/>
  <c r="S489" i="3"/>
  <c r="S484" i="3" s="1"/>
  <c r="M483" i="3"/>
  <c r="T489" i="3"/>
  <c r="T484" i="3" s="1"/>
  <c r="L483" i="3"/>
  <c r="AA427" i="3"/>
  <c r="AA426" i="3" s="1"/>
  <c r="Y427" i="3"/>
  <c r="Y426" i="3" s="1"/>
  <c r="W427" i="3"/>
  <c r="W426" i="3" s="1"/>
  <c r="U427" i="3"/>
  <c r="U426" i="3" s="1"/>
  <c r="S427" i="3"/>
  <c r="S426" i="3" s="1"/>
  <c r="Q427" i="3"/>
  <c r="Q426" i="3" s="1"/>
  <c r="T427" i="3"/>
  <c r="T426" i="3" s="1"/>
  <c r="O415" i="3"/>
  <c r="AA403" i="3"/>
  <c r="AA402" i="3" s="1"/>
  <c r="Y403" i="3"/>
  <c r="Y402" i="3" s="1"/>
  <c r="W403" i="3"/>
  <c r="W402" i="3" s="1"/>
  <c r="W401" i="3" s="1"/>
  <c r="U403" i="3"/>
  <c r="U402" i="3" s="1"/>
  <c r="S403" i="3"/>
  <c r="S402" i="3" s="1"/>
  <c r="Q403" i="3"/>
  <c r="Q402" i="3" s="1"/>
  <c r="O402" i="3"/>
  <c r="O401" i="3" s="1"/>
  <c r="T403" i="3"/>
  <c r="T402" i="3" s="1"/>
  <c r="T401" i="3" s="1"/>
  <c r="N714" i="3"/>
  <c r="Z675" i="3"/>
  <c r="Z674" i="3" s="1"/>
  <c r="V675" i="3"/>
  <c r="V674" i="3" s="1"/>
  <c r="R675" i="3"/>
  <c r="R674" i="3" s="1"/>
  <c r="O626" i="3"/>
  <c r="G43" i="4" s="1"/>
  <c r="Y619" i="3"/>
  <c r="AB619" i="3"/>
  <c r="AB614" i="3" s="1"/>
  <c r="P619" i="3"/>
  <c r="P614" i="3" s="1"/>
  <c r="AB585" i="3"/>
  <c r="AB584" i="3" s="1"/>
  <c r="X585" i="3"/>
  <c r="X584" i="3" s="1"/>
  <c r="V585" i="3"/>
  <c r="V584" i="3" s="1"/>
  <c r="P585" i="3"/>
  <c r="P584" i="3" s="1"/>
  <c r="T500" i="3"/>
  <c r="T499" i="3" s="1"/>
  <c r="L64" i="4" s="1"/>
  <c r="N415" i="3"/>
  <c r="Z562" i="3"/>
  <c r="Z561" i="3" s="1"/>
  <c r="U562" i="3"/>
  <c r="U561" i="3" s="1"/>
  <c r="P562" i="3"/>
  <c r="P561" i="3" s="1"/>
  <c r="AA558" i="3"/>
  <c r="AA557" i="3" s="1"/>
  <c r="AA556" i="3" s="1"/>
  <c r="AA550" i="3" s="1"/>
  <c r="P558" i="3"/>
  <c r="P557" i="3" s="1"/>
  <c r="P556" i="3" s="1"/>
  <c r="Y453" i="3"/>
  <c r="Y452" i="3" s="1"/>
  <c r="Y451" i="3" s="1"/>
  <c r="AB391" i="3"/>
  <c r="Z391" i="3"/>
  <c r="X391" i="3"/>
  <c r="V391" i="3"/>
  <c r="T391" i="3"/>
  <c r="R391" i="3"/>
  <c r="P391" i="3"/>
  <c r="N391" i="3"/>
  <c r="Y369" i="3"/>
  <c r="Y364" i="3" s="1"/>
  <c r="W369" i="3"/>
  <c r="W364" i="3" s="1"/>
  <c r="Q369" i="3"/>
  <c r="Q364" i="3" s="1"/>
  <c r="V344" i="3"/>
  <c r="N35" i="4" s="1"/>
  <c r="Z329" i="3"/>
  <c r="Z328" i="3" s="1"/>
  <c r="AB329" i="3"/>
  <c r="AB328" i="3" s="1"/>
  <c r="V329" i="3"/>
  <c r="V328" i="3" s="1"/>
  <c r="AB282" i="3"/>
  <c r="N282" i="3"/>
  <c r="P274" i="3"/>
  <c r="AB274" i="3"/>
  <c r="X274" i="3"/>
  <c r="R274" i="3"/>
  <c r="M170" i="3"/>
  <c r="M169" i="3" s="1"/>
  <c r="L170" i="3"/>
  <c r="L169" i="3" s="1"/>
  <c r="R148" i="3"/>
  <c r="R147" i="3" s="1"/>
  <c r="Y148" i="3"/>
  <c r="Y147" i="3" s="1"/>
  <c r="S148" i="3"/>
  <c r="S147" i="3" s="1"/>
  <c r="AA115" i="3"/>
  <c r="Y115" i="3"/>
  <c r="U115" i="3"/>
  <c r="S115" i="3"/>
  <c r="Q115" i="3"/>
  <c r="AB115" i="3"/>
  <c r="X115" i="3"/>
  <c r="T115" i="3"/>
  <c r="P115" i="3"/>
  <c r="L44" i="3"/>
  <c r="L43" i="3" s="1"/>
  <c r="R374" i="3"/>
  <c r="R373" i="3" s="1"/>
  <c r="R369" i="3" s="1"/>
  <c r="R364" i="3" s="1"/>
  <c r="U375" i="3"/>
  <c r="U374" i="3" s="1"/>
  <c r="U373" i="3" s="1"/>
  <c r="U369" i="3" s="1"/>
  <c r="U364" i="3" s="1"/>
  <c r="AA369" i="3"/>
  <c r="AA364" i="3" s="1"/>
  <c r="S369" i="3"/>
  <c r="S364" i="3" s="1"/>
  <c r="Z282" i="3"/>
  <c r="V282" i="3"/>
  <c r="P282" i="3"/>
  <c r="T274" i="3"/>
  <c r="N274" i="3"/>
  <c r="Z274" i="3"/>
  <c r="V274" i="3"/>
  <c r="U148" i="3"/>
  <c r="U147" i="3" s="1"/>
  <c r="AB148" i="3"/>
  <c r="AB147" i="3" s="1"/>
  <c r="Z148" i="3"/>
  <c r="Z147" i="3" s="1"/>
  <c r="X148" i="3"/>
  <c r="X147" i="3" s="1"/>
  <c r="Q148" i="3"/>
  <c r="Q147" i="3" s="1"/>
  <c r="V115" i="3"/>
  <c r="Z216" i="3"/>
  <c r="Z215" i="3" s="1"/>
  <c r="U216" i="3"/>
  <c r="U215" i="3" s="1"/>
  <c r="P216" i="3"/>
  <c r="U214" i="3"/>
  <c r="U213" i="3" s="1"/>
  <c r="U212" i="3" s="1"/>
  <c r="Z101" i="3"/>
  <c r="Z100" i="3" s="1"/>
  <c r="Z99" i="3" s="1"/>
  <c r="P101" i="3"/>
  <c r="P100" i="3" s="1"/>
  <c r="P99" i="3" s="1"/>
  <c r="U92" i="3"/>
  <c r="U91" i="3" s="1"/>
  <c r="U90" i="3" s="1"/>
  <c r="P92" i="3"/>
  <c r="Z68" i="3"/>
  <c r="Z67" i="3" s="1"/>
  <c r="Z66" i="3" s="1"/>
  <c r="U68" i="3"/>
  <c r="U67" i="3" s="1"/>
  <c r="U66" i="3" s="1"/>
  <c r="P68" i="3"/>
  <c r="P67" i="3" s="1"/>
  <c r="P66" i="3" s="1"/>
  <c r="Z21" i="3"/>
  <c r="Z20" i="3" s="1"/>
  <c r="R47" i="4" s="1"/>
  <c r="X21" i="3"/>
  <c r="X20" i="3" s="1"/>
  <c r="P47" i="4" s="1"/>
  <c r="V21" i="3"/>
  <c r="V20" i="3" s="1"/>
  <c r="N47" i="4" s="1"/>
  <c r="R21" i="3"/>
  <c r="R20" i="3" s="1"/>
  <c r="J47" i="4" s="1"/>
  <c r="N21" i="3"/>
  <c r="N20" i="3" s="1"/>
  <c r="F47" i="4" s="1"/>
  <c r="L21" i="3"/>
  <c r="L20" i="3" s="1"/>
  <c r="D47" i="4" s="1"/>
  <c r="D46" i="4" s="1"/>
  <c r="P577" i="5"/>
  <c r="L577" i="5"/>
  <c r="S556" i="5"/>
  <c r="S555" i="5" s="1"/>
  <c r="J516" i="5"/>
  <c r="Z517" i="5"/>
  <c r="W517" i="5"/>
  <c r="S517" i="5"/>
  <c r="O517" i="5"/>
  <c r="L517" i="5"/>
  <c r="L516" i="5" s="1"/>
  <c r="L475" i="5"/>
  <c r="S454" i="5"/>
  <c r="T439" i="5"/>
  <c r="R420" i="5"/>
  <c r="L420" i="5"/>
  <c r="Y420" i="5"/>
  <c r="W420" i="5"/>
  <c r="U420" i="5"/>
  <c r="S420" i="5"/>
  <c r="M420" i="5"/>
  <c r="X420" i="5"/>
  <c r="T420" i="5"/>
  <c r="O44" i="3"/>
  <c r="O43" i="3" s="1"/>
  <c r="M44" i="3"/>
  <c r="M43" i="3" s="1"/>
  <c r="N44" i="3"/>
  <c r="N43" i="3" s="1"/>
  <c r="AB21" i="3"/>
  <c r="AB20" i="3" s="1"/>
  <c r="T47" i="4" s="1"/>
  <c r="J475" i="5"/>
  <c r="V454" i="5"/>
  <c r="Y439" i="5"/>
  <c r="S439" i="5"/>
  <c r="Q439" i="5"/>
  <c r="K439" i="5"/>
  <c r="Z439" i="5"/>
  <c r="V439" i="5"/>
  <c r="R439" i="5"/>
  <c r="N439" i="5"/>
  <c r="J439" i="5"/>
  <c r="Y408" i="5"/>
  <c r="W408" i="5"/>
  <c r="U408" i="5"/>
  <c r="S408" i="5"/>
  <c r="R408" i="5"/>
  <c r="AB29" i="3"/>
  <c r="AB28" i="3" s="1"/>
  <c r="U21" i="3"/>
  <c r="U20" i="3" s="1"/>
  <c r="M47" i="4" s="1"/>
  <c r="X477" i="5"/>
  <c r="X476" i="5" s="1"/>
  <c r="X475" i="5" s="1"/>
  <c r="S477" i="5"/>
  <c r="S476" i="5" s="1"/>
  <c r="S475" i="5" s="1"/>
  <c r="M469" i="5"/>
  <c r="R467" i="5"/>
  <c r="R466" i="5" s="1"/>
  <c r="N467" i="5"/>
  <c r="N466" i="5" s="1"/>
  <c r="Y371" i="5"/>
  <c r="S371" i="5"/>
  <c r="Q371" i="5"/>
  <c r="Z355" i="5"/>
  <c r="S355" i="5"/>
  <c r="X371" i="5"/>
  <c r="P371" i="5"/>
  <c r="N371" i="5"/>
  <c r="W355" i="5"/>
  <c r="M351" i="5"/>
  <c r="Y348" i="5"/>
  <c r="Y347" i="5" s="1"/>
  <c r="Y346" i="5" s="1"/>
  <c r="Y331" i="5" s="1"/>
  <c r="N348" i="5"/>
  <c r="X301" i="5"/>
  <c r="X300" i="5" s="1"/>
  <c r="X299" i="5" s="1"/>
  <c r="S301" i="5"/>
  <c r="S300" i="5" s="1"/>
  <c r="S299" i="5" s="1"/>
  <c r="N301" i="5"/>
  <c r="N300" i="5" s="1"/>
  <c r="N299" i="5" s="1"/>
  <c r="R297" i="5"/>
  <c r="R292" i="5" s="1"/>
  <c r="R266" i="5"/>
  <c r="R265" i="5" s="1"/>
  <c r="X262" i="5"/>
  <c r="X261" i="5" s="1"/>
  <c r="X260" i="5" s="1"/>
  <c r="T260" i="5"/>
  <c r="P260" i="5"/>
  <c r="N262" i="5"/>
  <c r="N261" i="5" s="1"/>
  <c r="N260" i="5" s="1"/>
  <c r="L260" i="5"/>
  <c r="Z260" i="5"/>
  <c r="W260" i="5"/>
  <c r="R260" i="5"/>
  <c r="K260" i="5"/>
  <c r="X244" i="5"/>
  <c r="L244" i="5"/>
  <c r="J244" i="5"/>
  <c r="X228" i="5"/>
  <c r="T228" i="5"/>
  <c r="Z165" i="5"/>
  <c r="J260" i="5"/>
  <c r="Y260" i="5"/>
  <c r="V260" i="5"/>
  <c r="Q260" i="5"/>
  <c r="O244" i="5"/>
  <c r="O228" i="5"/>
  <c r="X253" i="5"/>
  <c r="X252" i="5" s="1"/>
  <c r="X251" i="5" s="1"/>
  <c r="X238" i="5" s="1"/>
  <c r="T249" i="5"/>
  <c r="T244" i="5" s="1"/>
  <c r="Z142" i="5"/>
  <c r="X142" i="5"/>
  <c r="V142" i="5"/>
  <c r="T142" i="5"/>
  <c r="R142" i="5"/>
  <c r="P142" i="5"/>
  <c r="N142" i="5"/>
  <c r="L142" i="5"/>
  <c r="S130" i="5"/>
  <c r="Z130" i="5"/>
  <c r="X130" i="5"/>
  <c r="U130" i="5"/>
  <c r="R130" i="5"/>
  <c r="P130" i="5"/>
  <c r="M130" i="5"/>
  <c r="K130" i="5"/>
  <c r="W111" i="5"/>
  <c r="U111" i="5"/>
  <c r="S111" i="5"/>
  <c r="O111" i="5"/>
  <c r="M111" i="5"/>
  <c r="S88" i="5"/>
  <c r="Q88" i="5"/>
  <c r="O88" i="5"/>
  <c r="S250" i="5"/>
  <c r="S249" i="5" s="1"/>
  <c r="S244" i="5" s="1"/>
  <c r="Y142" i="5"/>
  <c r="W142" i="5"/>
  <c r="U142" i="5"/>
  <c r="S142" i="5"/>
  <c r="Q142" i="5"/>
  <c r="O142" i="5"/>
  <c r="M142" i="5"/>
  <c r="W130" i="5"/>
  <c r="O130" i="5"/>
  <c r="Y130" i="5"/>
  <c r="V130" i="5"/>
  <c r="T130" i="5"/>
  <c r="Q130" i="5"/>
  <c r="N130" i="5"/>
  <c r="L130" i="5"/>
  <c r="J130" i="5"/>
  <c r="X111" i="5"/>
  <c r="T111" i="5"/>
  <c r="L111" i="5"/>
  <c r="Z88" i="5"/>
  <c r="X88" i="5"/>
  <c r="V88" i="5"/>
  <c r="T88" i="5"/>
  <c r="R88" i="5"/>
  <c r="P88" i="5"/>
  <c r="N88" i="5"/>
  <c r="L88" i="5"/>
  <c r="R125" i="5"/>
  <c r="R124" i="5" s="1"/>
  <c r="R123" i="5" s="1"/>
  <c r="Y88" i="5"/>
  <c r="W88" i="5"/>
  <c r="U88" i="5"/>
  <c r="U76" i="5"/>
  <c r="U75" i="5" s="1"/>
  <c r="U65" i="5" s="1"/>
  <c r="X77" i="5"/>
  <c r="X76" i="5" s="1"/>
  <c r="X75" i="5" s="1"/>
  <c r="L65" i="5"/>
  <c r="S45" i="5"/>
  <c r="S44" i="5" s="1"/>
  <c r="S18" i="5" s="1"/>
  <c r="W46" i="5"/>
  <c r="W45" i="5" s="1"/>
  <c r="W44" i="5" s="1"/>
  <c r="W18" i="5" s="1"/>
  <c r="P79" i="5"/>
  <c r="P78" i="5" s="1"/>
  <c r="P65" i="5" s="1"/>
  <c r="S80" i="5"/>
  <c r="S79" i="5" s="1"/>
  <c r="S78" i="5" s="1"/>
  <c r="M76" i="5"/>
  <c r="M75" i="5" s="1"/>
  <c r="M65" i="5" s="1"/>
  <c r="N77" i="5"/>
  <c r="J65" i="5"/>
  <c r="Z24" i="5"/>
  <c r="Z18" i="5" s="1"/>
  <c r="X24" i="5"/>
  <c r="X18" i="5" s="1"/>
  <c r="T24" i="5"/>
  <c r="T18" i="5" s="1"/>
  <c r="J24" i="5"/>
  <c r="T471" i="5" l="1"/>
  <c r="T432" i="5" s="1"/>
  <c r="U559" i="3"/>
  <c r="U560" i="3"/>
  <c r="P559" i="3"/>
  <c r="P560" i="3"/>
  <c r="Z559" i="3"/>
  <c r="Z545" i="3" s="1"/>
  <c r="Z544" i="3" s="1"/>
  <c r="Z560" i="3"/>
  <c r="U656" i="3"/>
  <c r="U655" i="3" s="1"/>
  <c r="U654" i="3" s="1"/>
  <c r="AB545" i="3"/>
  <c r="AB544" i="3" s="1"/>
  <c r="K36" i="4"/>
  <c r="M36" i="4"/>
  <c r="O36" i="4"/>
  <c r="N36" i="4"/>
  <c r="T36" i="4"/>
  <c r="P686" i="3"/>
  <c r="X686" i="3"/>
  <c r="AB686" i="3"/>
  <c r="Q686" i="3"/>
  <c r="W686" i="3"/>
  <c r="Y686" i="3"/>
  <c r="P834" i="3"/>
  <c r="P833" i="3" s="1"/>
  <c r="P832" i="3" s="1"/>
  <c r="P801" i="3" s="1"/>
  <c r="S36" i="4"/>
  <c r="J36" i="4"/>
  <c r="I36" i="4"/>
  <c r="Q36" i="4"/>
  <c r="O51" i="4"/>
  <c r="Y656" i="3"/>
  <c r="Y655" i="3" s="1"/>
  <c r="Y654" i="3" s="1"/>
  <c r="P36" i="4"/>
  <c r="R686" i="3"/>
  <c r="V686" i="3"/>
  <c r="Z686" i="3"/>
  <c r="AA686" i="3"/>
  <c r="U686" i="3"/>
  <c r="T834" i="3"/>
  <c r="T833" i="3" s="1"/>
  <c r="T832" i="3" s="1"/>
  <c r="T801" i="3" s="1"/>
  <c r="R36" i="4"/>
  <c r="T686" i="3"/>
  <c r="S686" i="3"/>
  <c r="Q238" i="5"/>
  <c r="S569" i="3"/>
  <c r="Q415" i="3"/>
  <c r="E37" i="4"/>
  <c r="AB656" i="3"/>
  <c r="AB655" i="3" s="1"/>
  <c r="AB654" i="3" s="1"/>
  <c r="T569" i="3"/>
  <c r="Q126" i="3"/>
  <c r="Q125" i="3" s="1"/>
  <c r="I52" i="4" s="1"/>
  <c r="U126" i="3"/>
  <c r="U125" i="3" s="1"/>
  <c r="M52" i="4" s="1"/>
  <c r="Y126" i="3"/>
  <c r="Y125" i="3" s="1"/>
  <c r="Q52" i="4" s="1"/>
  <c r="N126" i="3"/>
  <c r="N125" i="3" s="1"/>
  <c r="F52" i="4" s="1"/>
  <c r="R126" i="3"/>
  <c r="R125" i="3" s="1"/>
  <c r="V126" i="3"/>
  <c r="V125" i="3" s="1"/>
  <c r="N52" i="4" s="1"/>
  <c r="Z126" i="3"/>
  <c r="Z125" i="3" s="1"/>
  <c r="R52" i="4" s="1"/>
  <c r="D37" i="4"/>
  <c r="Y281" i="3"/>
  <c r="Y247" i="3" s="1"/>
  <c r="U281" i="3"/>
  <c r="U247" i="3" s="1"/>
  <c r="AB281" i="3"/>
  <c r="AB247" i="3" s="1"/>
  <c r="T415" i="3"/>
  <c r="S415" i="3"/>
  <c r="AA415" i="3"/>
  <c r="S238" i="5"/>
  <c r="N545" i="3"/>
  <c r="N544" i="3" s="1"/>
  <c r="P281" i="3"/>
  <c r="P247" i="3" s="1"/>
  <c r="Z281" i="3"/>
  <c r="Z247" i="3" s="1"/>
  <c r="N390" i="3"/>
  <c r="N382" i="3" s="1"/>
  <c r="F37" i="4" s="1"/>
  <c r="R390" i="3"/>
  <c r="R382" i="3" s="1"/>
  <c r="J37" i="4" s="1"/>
  <c r="J31" i="4" s="1"/>
  <c r="AA545" i="3"/>
  <c r="AA544" i="3" s="1"/>
  <c r="P44" i="3"/>
  <c r="Q211" i="3"/>
  <c r="Q206" i="3" s="1"/>
  <c r="I21" i="4" s="1"/>
  <c r="O281" i="3"/>
  <c r="O247" i="3" s="1"/>
  <c r="X415" i="3"/>
  <c r="T44" i="3"/>
  <c r="Z44" i="3"/>
  <c r="Z43" i="3" s="1"/>
  <c r="R48" i="4" s="1"/>
  <c r="S44" i="3"/>
  <c r="S43" i="3" s="1"/>
  <c r="K48" i="4" s="1"/>
  <c r="U44" i="3"/>
  <c r="U43" i="3" s="1"/>
  <c r="M48" i="4" s="1"/>
  <c r="X43" i="3"/>
  <c r="P48" i="4" s="1"/>
  <c r="W43" i="3"/>
  <c r="O48" i="4" s="1"/>
  <c r="Q43" i="3"/>
  <c r="I48" i="4" s="1"/>
  <c r="G62" i="4"/>
  <c r="R43" i="3"/>
  <c r="J48" i="4" s="1"/>
  <c r="AB43" i="3"/>
  <c r="T48" i="4" s="1"/>
  <c r="AA43" i="3"/>
  <c r="S48" i="4" s="1"/>
  <c r="V43" i="3"/>
  <c r="N48" i="4" s="1"/>
  <c r="N347" i="5"/>
  <c r="N346" i="5" s="1"/>
  <c r="N331" i="5" s="1"/>
  <c r="R348" i="5"/>
  <c r="R347" i="5" s="1"/>
  <c r="R346" i="5" s="1"/>
  <c r="R331" i="5" s="1"/>
  <c r="W331" i="5"/>
  <c r="U471" i="5"/>
  <c r="U432" i="5" s="1"/>
  <c r="O471" i="5"/>
  <c r="O432" i="5" s="1"/>
  <c r="Y471" i="5"/>
  <c r="Y432" i="5" s="1"/>
  <c r="X471" i="5"/>
  <c r="X432" i="5" s="1"/>
  <c r="S471" i="5"/>
  <c r="S432" i="5" s="1"/>
  <c r="V471" i="5"/>
  <c r="V432" i="5" s="1"/>
  <c r="N165" i="5"/>
  <c r="Z331" i="5"/>
  <c r="W471" i="5"/>
  <c r="W432" i="5" s="1"/>
  <c r="Z471" i="5"/>
  <c r="Z432" i="5" s="1"/>
  <c r="P471" i="5"/>
  <c r="P432" i="5" s="1"/>
  <c r="T281" i="3"/>
  <c r="T247" i="3" s="1"/>
  <c r="Y211" i="3"/>
  <c r="Y206" i="3" s="1"/>
  <c r="Q21" i="4" s="1"/>
  <c r="T714" i="3"/>
  <c r="Q471" i="5"/>
  <c r="Q432" i="5" s="1"/>
  <c r="W211" i="3"/>
  <c r="W206" i="3" s="1"/>
  <c r="O21" i="4" s="1"/>
  <c r="X211" i="3"/>
  <c r="X206" i="3" s="1"/>
  <c r="P21" i="4" s="1"/>
  <c r="P215" i="3"/>
  <c r="T216" i="3"/>
  <c r="T215" i="3" s="1"/>
  <c r="P759" i="3"/>
  <c r="P758" i="3" s="1"/>
  <c r="T760" i="3"/>
  <c r="T759" i="3" s="1"/>
  <c r="T758" i="3" s="1"/>
  <c r="V211" i="3"/>
  <c r="V206" i="3" s="1"/>
  <c r="N21" i="4" s="1"/>
  <c r="AA281" i="3"/>
  <c r="AA247" i="3" s="1"/>
  <c r="Z212" i="3"/>
  <c r="Z211" i="3" s="1"/>
  <c r="Z206" i="3" s="1"/>
  <c r="R21" i="4" s="1"/>
  <c r="R89" i="3"/>
  <c r="S281" i="3"/>
  <c r="S247" i="3" s="1"/>
  <c r="Q281" i="3"/>
  <c r="Q247" i="3" s="1"/>
  <c r="X89" i="3"/>
  <c r="X88" i="3" s="1"/>
  <c r="P49" i="4" s="1"/>
  <c r="AB89" i="3"/>
  <c r="AB88" i="3" s="1"/>
  <c r="T49" i="4" s="1"/>
  <c r="P91" i="3"/>
  <c r="P90" i="3" s="1"/>
  <c r="P89" i="3" s="1"/>
  <c r="P88" i="3" s="1"/>
  <c r="H49" i="4" s="1"/>
  <c r="T92" i="3"/>
  <c r="T91" i="3" s="1"/>
  <c r="T90" i="3" s="1"/>
  <c r="T89" i="3" s="1"/>
  <c r="T88" i="3" s="1"/>
  <c r="L49" i="4" s="1"/>
  <c r="V390" i="3"/>
  <c r="V382" i="3" s="1"/>
  <c r="V336" i="3" s="1"/>
  <c r="R211" i="3"/>
  <c r="R206" i="3" s="1"/>
  <c r="J21" i="4" s="1"/>
  <c r="AA211" i="3"/>
  <c r="AA206" i="3" s="1"/>
  <c r="S21" i="4" s="1"/>
  <c r="S211" i="3"/>
  <c r="S206" i="3" s="1"/>
  <c r="K21" i="4" s="1"/>
  <c r="U211" i="3"/>
  <c r="U206" i="3" s="1"/>
  <c r="M21" i="4" s="1"/>
  <c r="AB211" i="3"/>
  <c r="AB206" i="3" s="1"/>
  <c r="T21" i="4" s="1"/>
  <c r="X281" i="3"/>
  <c r="X247" i="3" s="1"/>
  <c r="O390" i="3"/>
  <c r="O382" i="3" s="1"/>
  <c r="G37" i="4" s="1"/>
  <c r="S390" i="3"/>
  <c r="S382" i="3" s="1"/>
  <c r="K37" i="4" s="1"/>
  <c r="W390" i="3"/>
  <c r="W382" i="3" s="1"/>
  <c r="O37" i="4" s="1"/>
  <c r="O31" i="4" s="1"/>
  <c r="AA390" i="3"/>
  <c r="AA382" i="3" s="1"/>
  <c r="S37" i="4" s="1"/>
  <c r="V88" i="3"/>
  <c r="N49" i="4" s="1"/>
  <c r="V281" i="3"/>
  <c r="V247" i="3" s="1"/>
  <c r="AA89" i="3"/>
  <c r="AA88" i="3" s="1"/>
  <c r="S49" i="4" s="1"/>
  <c r="Y89" i="3"/>
  <c r="Y88" i="3" s="1"/>
  <c r="Z89" i="3"/>
  <c r="Z88" i="3" s="1"/>
  <c r="R49" i="4" s="1"/>
  <c r="U89" i="3"/>
  <c r="U88" i="3" s="1"/>
  <c r="M49" i="4" s="1"/>
  <c r="W89" i="3"/>
  <c r="W88" i="3" s="1"/>
  <c r="O49" i="4" s="1"/>
  <c r="R18" i="5"/>
  <c r="F56" i="4"/>
  <c r="U415" i="3"/>
  <c r="Y415" i="3"/>
  <c r="V415" i="3"/>
  <c r="K432" i="5"/>
  <c r="N249" i="5"/>
  <c r="N244" i="5" s="1"/>
  <c r="R250" i="5"/>
  <c r="R249" i="5" s="1"/>
  <c r="R244" i="5" s="1"/>
  <c r="N557" i="5"/>
  <c r="N556" i="5" s="1"/>
  <c r="N555" i="5" s="1"/>
  <c r="R558" i="5"/>
  <c r="R557" i="5" s="1"/>
  <c r="R556" i="5" s="1"/>
  <c r="R555" i="5" s="1"/>
  <c r="N79" i="5"/>
  <c r="N78" i="5" s="1"/>
  <c r="R80" i="5"/>
  <c r="R79" i="5" s="1"/>
  <c r="R78" i="5" s="1"/>
  <c r="W415" i="3"/>
  <c r="N76" i="5"/>
  <c r="N75" i="5" s="1"/>
  <c r="R77" i="5"/>
  <c r="R76" i="5" s="1"/>
  <c r="R75" i="5" s="1"/>
  <c r="Y445" i="3"/>
  <c r="Y444" i="3" s="1"/>
  <c r="Y443" i="3" s="1"/>
  <c r="Y442" i="3" s="1"/>
  <c r="Z801" i="3"/>
  <c r="V801" i="3"/>
  <c r="AB801" i="3"/>
  <c r="Y801" i="3"/>
  <c r="S801" i="3"/>
  <c r="AA801" i="3"/>
  <c r="D23" i="4"/>
  <c r="W801" i="3"/>
  <c r="Q801" i="3"/>
  <c r="R801" i="3"/>
  <c r="X801" i="3"/>
  <c r="V545" i="3"/>
  <c r="V544" i="3" s="1"/>
  <c r="P390" i="3"/>
  <c r="P382" i="3" s="1"/>
  <c r="P336" i="3" s="1"/>
  <c r="T390" i="3"/>
  <c r="T382" i="3" s="1"/>
  <c r="T336" i="3" s="1"/>
  <c r="AB390" i="3"/>
  <c r="AB382" i="3" s="1"/>
  <c r="T37" i="4" s="1"/>
  <c r="U457" i="3"/>
  <c r="O798" i="3"/>
  <c r="O797" i="3" s="1"/>
  <c r="O796" i="3" s="1"/>
  <c r="J51" i="4"/>
  <c r="P325" i="3"/>
  <c r="T326" i="3"/>
  <c r="T325" i="3" s="1"/>
  <c r="R545" i="3"/>
  <c r="R544" i="3" s="1"/>
  <c r="P323" i="3"/>
  <c r="T324" i="3"/>
  <c r="T323" i="3" s="1"/>
  <c r="Z322" i="3"/>
  <c r="Z321" i="3" s="1"/>
  <c r="Z320" i="3" s="1"/>
  <c r="Z319" i="3" s="1"/>
  <c r="T656" i="3"/>
  <c r="T655" i="3" s="1"/>
  <c r="T654" i="3" s="1"/>
  <c r="L336" i="3"/>
  <c r="R165" i="5"/>
  <c r="S457" i="3"/>
  <c r="N483" i="3"/>
  <c r="S545" i="3"/>
  <c r="S544" i="3" s="1"/>
  <c r="I27" i="4"/>
  <c r="I26" i="4" s="1"/>
  <c r="O801" i="3"/>
  <c r="M785" i="3"/>
  <c r="M784" i="3" s="1"/>
  <c r="E23" i="4" s="1"/>
  <c r="X545" i="3"/>
  <c r="X544" i="3" s="1"/>
  <c r="Y545" i="3"/>
  <c r="Y544" i="3" s="1"/>
  <c r="L545" i="3"/>
  <c r="L544" i="3" s="1"/>
  <c r="G56" i="4"/>
  <c r="R88" i="3"/>
  <c r="N89" i="3"/>
  <c r="N88" i="3" s="1"/>
  <c r="F49" i="4" s="1"/>
  <c r="Y614" i="3"/>
  <c r="Q42" i="4" s="1"/>
  <c r="R484" i="3"/>
  <c r="J63" i="4" s="1"/>
  <c r="J62" i="4" s="1"/>
  <c r="P484" i="3"/>
  <c r="H63" i="4" s="1"/>
  <c r="H62" i="4" s="1"/>
  <c r="X484" i="3"/>
  <c r="P63" i="4" s="1"/>
  <c r="P62" i="4" s="1"/>
  <c r="AB484" i="3"/>
  <c r="T63" i="4" s="1"/>
  <c r="T62" i="4" s="1"/>
  <c r="W484" i="3"/>
  <c r="O63" i="4" s="1"/>
  <c r="O62" i="4" s="1"/>
  <c r="Q484" i="3"/>
  <c r="I63" i="4" s="1"/>
  <c r="R713" i="3"/>
  <c r="R712" i="3" s="1"/>
  <c r="J54" i="4" s="1"/>
  <c r="J53" i="4" s="1"/>
  <c r="V484" i="3"/>
  <c r="V483" i="3" s="1"/>
  <c r="O483" i="3"/>
  <c r="K27" i="4"/>
  <c r="K26" i="4" s="1"/>
  <c r="Q27" i="4"/>
  <c r="Q26" i="4" s="1"/>
  <c r="F27" i="4"/>
  <c r="F26" i="4" s="1"/>
  <c r="E42" i="4"/>
  <c r="L200" i="3"/>
  <c r="AB457" i="3"/>
  <c r="R42" i="4"/>
  <c r="I42" i="4"/>
  <c r="O42" i="4"/>
  <c r="M42" i="4"/>
  <c r="S654" i="3"/>
  <c r="M371" i="5"/>
  <c r="Z371" i="5"/>
  <c r="N476" i="5"/>
  <c r="N475" i="5" s="1"/>
  <c r="N471" i="5" s="1"/>
  <c r="N432" i="5" s="1"/>
  <c r="R477" i="5"/>
  <c r="R476" i="5" s="1"/>
  <c r="O153" i="5"/>
  <c r="L18" i="5"/>
  <c r="L17" i="5" s="1"/>
  <c r="M238" i="5"/>
  <c r="S153" i="5"/>
  <c r="T545" i="3"/>
  <c r="T544" i="3" s="1"/>
  <c r="R170" i="3"/>
  <c r="R169" i="3" s="1"/>
  <c r="Z170" i="3"/>
  <c r="Z169" i="3" s="1"/>
  <c r="X170" i="3"/>
  <c r="X169" i="3" s="1"/>
  <c r="H51" i="4"/>
  <c r="S51" i="4"/>
  <c r="AB170" i="3"/>
  <c r="AB169" i="3" s="1"/>
  <c r="M336" i="3"/>
  <c r="X390" i="3"/>
  <c r="X382" i="3" s="1"/>
  <c r="X336" i="3" s="1"/>
  <c r="P550" i="3"/>
  <c r="J42" i="4"/>
  <c r="M457" i="3"/>
  <c r="N59" i="4"/>
  <c r="N56" i="4" s="1"/>
  <c r="Q390" i="3"/>
  <c r="Q382" i="3" s="1"/>
  <c r="Q336" i="3" s="1"/>
  <c r="U390" i="3"/>
  <c r="U382" i="3" s="1"/>
  <c r="M37" i="4" s="1"/>
  <c r="Y390" i="3"/>
  <c r="Y382" i="3" s="1"/>
  <c r="Q37" i="4" s="1"/>
  <c r="Q31" i="4" s="1"/>
  <c r="V170" i="3"/>
  <c r="V169" i="3" s="1"/>
  <c r="P213" i="3"/>
  <c r="T214" i="3"/>
  <c r="T213" i="3" s="1"/>
  <c r="S713" i="3"/>
  <c r="S712" i="3" s="1"/>
  <c r="M686" i="3"/>
  <c r="O56" i="4"/>
  <c r="M471" i="5"/>
  <c r="Y351" i="5"/>
  <c r="R153" i="5"/>
  <c r="U371" i="5"/>
  <c r="X65" i="5"/>
  <c r="U153" i="5"/>
  <c r="X17" i="5"/>
  <c r="L371" i="5"/>
  <c r="T371" i="5"/>
  <c r="K238" i="5"/>
  <c r="L471" i="5"/>
  <c r="L432" i="5" s="1"/>
  <c r="O371" i="5"/>
  <c r="W371" i="5"/>
  <c r="W351" i="5"/>
  <c r="Z351" i="5"/>
  <c r="T351" i="5"/>
  <c r="N351" i="5"/>
  <c r="R351" i="5"/>
  <c r="N153" i="5"/>
  <c r="V153" i="5"/>
  <c r="J18" i="5"/>
  <c r="J17" i="5" s="1"/>
  <c r="T17" i="5"/>
  <c r="S65" i="5"/>
  <c r="R111" i="5"/>
  <c r="S351" i="5"/>
  <c r="J432" i="5"/>
  <c r="K475" i="5"/>
  <c r="Q153" i="5"/>
  <c r="O17" i="5"/>
  <c r="Y153" i="5"/>
  <c r="Q17" i="5"/>
  <c r="U351" i="5"/>
  <c r="X351" i="5"/>
  <c r="V351" i="5"/>
  <c r="T169" i="3"/>
  <c r="W17" i="5"/>
  <c r="M17" i="5"/>
  <c r="M16" i="5" s="1"/>
  <c r="P169" i="3"/>
  <c r="R327" i="3"/>
  <c r="J30" i="4"/>
  <c r="J28" i="4" s="1"/>
  <c r="M200" i="3"/>
  <c r="Q51" i="4"/>
  <c r="N457" i="3"/>
  <c r="L583" i="3"/>
  <c r="H42" i="4"/>
  <c r="AA457" i="3"/>
  <c r="S27" i="4"/>
  <c r="S26" i="4" s="1"/>
  <c r="T27" i="4"/>
  <c r="T26" i="4" s="1"/>
  <c r="S30" i="4"/>
  <c r="S28" i="4" s="1"/>
  <c r="I30" i="4"/>
  <c r="I28" i="4" s="1"/>
  <c r="P42" i="4"/>
  <c r="Y457" i="3"/>
  <c r="N27" i="4"/>
  <c r="N26" i="4" s="1"/>
  <c r="F31" i="4"/>
  <c r="Z17" i="5"/>
  <c r="L238" i="5"/>
  <c r="O713" i="3"/>
  <c r="O712" i="3" s="1"/>
  <c r="O711" i="3" s="1"/>
  <c r="O653" i="3" s="1"/>
  <c r="L42" i="4"/>
  <c r="U17" i="5"/>
  <c r="N211" i="3"/>
  <c r="N206" i="3" s="1"/>
  <c r="F21" i="4" s="1"/>
  <c r="M545" i="3"/>
  <c r="M544" i="3" s="1"/>
  <c r="M543" i="3" s="1"/>
  <c r="Z483" i="3"/>
  <c r="W545" i="3"/>
  <c r="W544" i="3" s="1"/>
  <c r="P17" i="5"/>
  <c r="P16" i="5" s="1"/>
  <c r="Y17" i="5"/>
  <c r="V17" i="5"/>
  <c r="S59" i="4"/>
  <c r="S56" i="4" s="1"/>
  <c r="G31" i="4"/>
  <c r="M516" i="5"/>
  <c r="J238" i="5"/>
  <c r="N252" i="5"/>
  <c r="N251" i="5" s="1"/>
  <c r="N238" i="5" s="1"/>
  <c r="R253" i="5"/>
  <c r="R252" i="5" s="1"/>
  <c r="R251" i="5" s="1"/>
  <c r="R238" i="5" s="1"/>
  <c r="R319" i="3"/>
  <c r="J27" i="4"/>
  <c r="J26" i="4" s="1"/>
  <c r="U327" i="3"/>
  <c r="M30" i="4"/>
  <c r="M28" i="4" s="1"/>
  <c r="N583" i="3"/>
  <c r="F41" i="4"/>
  <c r="F38" i="4" s="1"/>
  <c r="O545" i="3"/>
  <c r="O544" i="3" s="1"/>
  <c r="I65" i="4"/>
  <c r="U169" i="3"/>
  <c r="O211" i="3"/>
  <c r="O206" i="3" s="1"/>
  <c r="G21" i="4" s="1"/>
  <c r="N281" i="3"/>
  <c r="N247" i="3" s="1"/>
  <c r="Z390" i="3"/>
  <c r="Z382" i="3" s="1"/>
  <c r="Z336" i="3" s="1"/>
  <c r="U545" i="3"/>
  <c r="U544" i="3" s="1"/>
  <c r="T42" i="4"/>
  <c r="L686" i="3"/>
  <c r="O457" i="3"/>
  <c r="W457" i="3"/>
  <c r="R62" i="4"/>
  <c r="N801" i="3"/>
  <c r="P27" i="4"/>
  <c r="P26" i="4" s="1"/>
  <c r="O126" i="3"/>
  <c r="O125" i="3" s="1"/>
  <c r="G52" i="4" s="1"/>
  <c r="S126" i="3"/>
  <c r="S125" i="3" s="1"/>
  <c r="K52" i="4" s="1"/>
  <c r="W126" i="3"/>
  <c r="W125" i="3" s="1"/>
  <c r="O52" i="4" s="1"/>
  <c r="AA126" i="3"/>
  <c r="AA125" i="3" s="1"/>
  <c r="S52" i="4" s="1"/>
  <c r="P126" i="3"/>
  <c r="P125" i="3" s="1"/>
  <c r="H52" i="4" s="1"/>
  <c r="T126" i="3"/>
  <c r="T125" i="3" s="1"/>
  <c r="L52" i="4" s="1"/>
  <c r="X126" i="3"/>
  <c r="X125" i="3" s="1"/>
  <c r="P52" i="4" s="1"/>
  <c r="AB126" i="3"/>
  <c r="AB125" i="3" s="1"/>
  <c r="T52" i="4" s="1"/>
  <c r="Q457" i="3"/>
  <c r="M713" i="3"/>
  <c r="M712" i="3" s="1"/>
  <c r="M711" i="3" s="1"/>
  <c r="Z457" i="3"/>
  <c r="N42" i="4"/>
  <c r="Q30" i="4"/>
  <c r="Q28" i="4" s="1"/>
  <c r="P30" i="4"/>
  <c r="P28" i="4" s="1"/>
  <c r="J52" i="4"/>
  <c r="R51" i="4"/>
  <c r="Q583" i="3"/>
  <c r="Q543" i="3" s="1"/>
  <c r="X457" i="3"/>
  <c r="I49" i="4"/>
  <c r="Q41" i="4"/>
  <c r="N51" i="4"/>
  <c r="G49" i="4"/>
  <c r="L51" i="4"/>
  <c r="T51" i="4"/>
  <c r="K51" i="4"/>
  <c r="Q169" i="3"/>
  <c r="V457" i="3"/>
  <c r="N713" i="3"/>
  <c r="N712" i="3" s="1"/>
  <c r="N711" i="3" s="1"/>
  <c r="N653" i="3" s="1"/>
  <c r="V713" i="3"/>
  <c r="X713" i="3"/>
  <c r="L30" i="4"/>
  <c r="L28" i="4" s="1"/>
  <c r="Q713" i="3"/>
  <c r="L713" i="3"/>
  <c r="L712" i="3" s="1"/>
  <c r="L711" i="3" s="1"/>
  <c r="K30" i="4"/>
  <c r="K28" i="4" s="1"/>
  <c r="K49" i="4"/>
  <c r="I41" i="4"/>
  <c r="M41" i="4"/>
  <c r="U401" i="3"/>
  <c r="P457" i="3"/>
  <c r="P51" i="4"/>
  <c r="R457" i="3"/>
  <c r="K41" i="4"/>
  <c r="S41" i="4"/>
  <c r="F62" i="4"/>
  <c r="L457" i="3"/>
  <c r="T457" i="3"/>
  <c r="K42" i="4"/>
  <c r="S42" i="4"/>
  <c r="K17" i="5"/>
  <c r="L121" i="3"/>
  <c r="D52" i="4"/>
  <c r="P583" i="3"/>
  <c r="H41" i="4"/>
  <c r="X583" i="3"/>
  <c r="P41" i="4"/>
  <c r="T583" i="3"/>
  <c r="L41" i="4"/>
  <c r="V583" i="3"/>
  <c r="N41" i="4"/>
  <c r="AB583" i="3"/>
  <c r="AB543" i="3" s="1"/>
  <c r="T41" i="4"/>
  <c r="F48" i="4"/>
  <c r="F46" i="4" s="1"/>
  <c r="V266" i="5"/>
  <c r="N469" i="5"/>
  <c r="N468" i="5" s="1"/>
  <c r="M468" i="5"/>
  <c r="G48" i="4"/>
  <c r="X146" i="3"/>
  <c r="P59" i="4"/>
  <c r="P56" i="4" s="1"/>
  <c r="AB146" i="3"/>
  <c r="T59" i="4"/>
  <c r="T56" i="4" s="1"/>
  <c r="L19" i="3"/>
  <c r="L18" i="3" s="1"/>
  <c r="D48" i="4"/>
  <c r="I51" i="4"/>
  <c r="M51" i="4"/>
  <c r="Y146" i="3"/>
  <c r="Q59" i="4"/>
  <c r="Q56" i="4" s="1"/>
  <c r="R146" i="3"/>
  <c r="J59" i="4"/>
  <c r="J56" i="4" s="1"/>
  <c r="W319" i="3"/>
  <c r="W312" i="3" s="1"/>
  <c r="O27" i="4"/>
  <c r="O26" i="4" s="1"/>
  <c r="AB327" i="3"/>
  <c r="T30" i="4"/>
  <c r="T28" i="4" s="1"/>
  <c r="Z327" i="3"/>
  <c r="R30" i="4"/>
  <c r="R28" i="4" s="1"/>
  <c r="S401" i="3"/>
  <c r="AA401" i="3"/>
  <c r="L525" i="3"/>
  <c r="L524" i="3" s="1"/>
  <c r="D20" i="4"/>
  <c r="D18" i="4" s="1"/>
  <c r="T525" i="3"/>
  <c r="T524" i="3" s="1"/>
  <c r="L20" i="4"/>
  <c r="AB525" i="3"/>
  <c r="AB524" i="3" s="1"/>
  <c r="T20" i="4"/>
  <c r="O525" i="3"/>
  <c r="O524" i="3" s="1"/>
  <c r="G20" i="4"/>
  <c r="S525" i="3"/>
  <c r="S524" i="3" s="1"/>
  <c r="K20" i="4"/>
  <c r="W525" i="3"/>
  <c r="W524" i="3" s="1"/>
  <c r="O20" i="4"/>
  <c r="AA525" i="3"/>
  <c r="AA524" i="3" s="1"/>
  <c r="S20" i="4"/>
  <c r="U583" i="3"/>
  <c r="V673" i="3"/>
  <c r="Q401" i="3"/>
  <c r="Y401" i="3"/>
  <c r="U483" i="3"/>
  <c r="M63" i="4"/>
  <c r="M62" i="4" s="1"/>
  <c r="Y483" i="3"/>
  <c r="Q63" i="4"/>
  <c r="Q62" i="4" s="1"/>
  <c r="R525" i="3"/>
  <c r="R524" i="3" s="1"/>
  <c r="J20" i="4"/>
  <c r="Z525" i="3"/>
  <c r="Z524" i="3" s="1"/>
  <c r="R20" i="4"/>
  <c r="S583" i="3"/>
  <c r="AA583" i="3"/>
  <c r="T673" i="3"/>
  <c r="AB673" i="3"/>
  <c r="U756" i="3"/>
  <c r="U755" i="3" s="1"/>
  <c r="U745" i="3" s="1"/>
  <c r="Y757" i="3"/>
  <c r="Y756" i="3" s="1"/>
  <c r="Y755" i="3" s="1"/>
  <c r="Y745" i="3" s="1"/>
  <c r="Y713" i="3" s="1"/>
  <c r="Y712" i="3" s="1"/>
  <c r="P783" i="3"/>
  <c r="P782" i="3" s="1"/>
  <c r="H23" i="4"/>
  <c r="N783" i="3"/>
  <c r="N782" i="3" s="1"/>
  <c r="F23" i="4"/>
  <c r="V783" i="3"/>
  <c r="V782" i="3" s="1"/>
  <c r="N23" i="4"/>
  <c r="O783" i="3"/>
  <c r="O782" i="3" s="1"/>
  <c r="G23" i="4"/>
  <c r="S783" i="3"/>
  <c r="S782" i="3" s="1"/>
  <c r="K23" i="4"/>
  <c r="W783" i="3"/>
  <c r="W782" i="3" s="1"/>
  <c r="O23" i="4"/>
  <c r="AA783" i="3"/>
  <c r="AA782" i="3" s="1"/>
  <c r="S23" i="4"/>
  <c r="AB783" i="3"/>
  <c r="AB782" i="3" s="1"/>
  <c r="T23" i="4"/>
  <c r="M19" i="3"/>
  <c r="M18" i="3" s="1"/>
  <c r="E48" i="4"/>
  <c r="M121" i="3"/>
  <c r="E52" i="4"/>
  <c r="Q146" i="3"/>
  <c r="I59" i="4"/>
  <c r="I56" i="4" s="1"/>
  <c r="Z146" i="3"/>
  <c r="R59" i="4"/>
  <c r="R56" i="4" s="1"/>
  <c r="U146" i="3"/>
  <c r="M59" i="4"/>
  <c r="M56" i="4" s="1"/>
  <c r="W327" i="3"/>
  <c r="O30" i="4"/>
  <c r="O28" i="4" s="1"/>
  <c r="S146" i="3"/>
  <c r="K59" i="4"/>
  <c r="K56" i="4" s="1"/>
  <c r="P146" i="3"/>
  <c r="H59" i="4"/>
  <c r="H56" i="4" s="1"/>
  <c r="T146" i="3"/>
  <c r="L59" i="4"/>
  <c r="L56" i="4" s="1"/>
  <c r="O319" i="3"/>
  <c r="G27" i="4"/>
  <c r="G26" i="4" s="1"/>
  <c r="V327" i="3"/>
  <c r="N30" i="4"/>
  <c r="N28" i="4" s="1"/>
  <c r="P327" i="3"/>
  <c r="H30" i="4"/>
  <c r="H28" i="4" s="1"/>
  <c r="P525" i="3"/>
  <c r="P524" i="3" s="1"/>
  <c r="H20" i="4"/>
  <c r="X525" i="3"/>
  <c r="X524" i="3" s="1"/>
  <c r="P20" i="4"/>
  <c r="M525" i="3"/>
  <c r="M524" i="3" s="1"/>
  <c r="E20" i="4"/>
  <c r="E18" i="4" s="1"/>
  <c r="Q525" i="3"/>
  <c r="Q524" i="3" s="1"/>
  <c r="I20" i="4"/>
  <c r="U525" i="3"/>
  <c r="U524" i="3" s="1"/>
  <c r="M20" i="4"/>
  <c r="Y525" i="3"/>
  <c r="Y524" i="3" s="1"/>
  <c r="Q20" i="4"/>
  <c r="R583" i="3"/>
  <c r="J41" i="4"/>
  <c r="Z583" i="3"/>
  <c r="R41" i="4"/>
  <c r="R673" i="3"/>
  <c r="Z673" i="3"/>
  <c r="T483" i="3"/>
  <c r="L63" i="4"/>
  <c r="L62" i="4" s="1"/>
  <c r="S483" i="3"/>
  <c r="K63" i="4"/>
  <c r="K62" i="4" s="1"/>
  <c r="AA483" i="3"/>
  <c r="S63" i="4"/>
  <c r="S62" i="4" s="1"/>
  <c r="N525" i="3"/>
  <c r="N524" i="3" s="1"/>
  <c r="F20" i="4"/>
  <c r="V525" i="3"/>
  <c r="V524" i="3" s="1"/>
  <c r="N20" i="4"/>
  <c r="O583" i="3"/>
  <c r="G41" i="4"/>
  <c r="G38" i="4" s="1"/>
  <c r="W583" i="3"/>
  <c r="O41" i="4"/>
  <c r="P673" i="3"/>
  <c r="X673" i="3"/>
  <c r="T757" i="3"/>
  <c r="T756" i="3" s="1"/>
  <c r="T755" i="3" s="1"/>
  <c r="P756" i="3"/>
  <c r="P755" i="3" s="1"/>
  <c r="AB757" i="3"/>
  <c r="AB756" i="3" s="1"/>
  <c r="AB755" i="3" s="1"/>
  <c r="AB745" i="3" s="1"/>
  <c r="Z756" i="3"/>
  <c r="Z755" i="3" s="1"/>
  <c r="Z745" i="3" s="1"/>
  <c r="Z713" i="3" s="1"/>
  <c r="Z712" i="3" s="1"/>
  <c r="M654" i="3"/>
  <c r="X783" i="3"/>
  <c r="X782" i="3" s="1"/>
  <c r="P23" i="4"/>
  <c r="U816" i="3"/>
  <c r="U815" i="3" s="1"/>
  <c r="U801" i="3" s="1"/>
  <c r="M27" i="4"/>
  <c r="M26" i="4" s="1"/>
  <c r="R783" i="3"/>
  <c r="R782" i="3" s="1"/>
  <c r="J23" i="4"/>
  <c r="Z783" i="3"/>
  <c r="Z782" i="3" s="1"/>
  <c r="R23" i="4"/>
  <c r="Q783" i="3"/>
  <c r="Q782" i="3" s="1"/>
  <c r="I23" i="4"/>
  <c r="U783" i="3"/>
  <c r="U782" i="3" s="1"/>
  <c r="M23" i="4"/>
  <c r="Y783" i="3"/>
  <c r="Y782" i="3" s="1"/>
  <c r="Q23" i="4"/>
  <c r="T783" i="3"/>
  <c r="T782" i="3" s="1"/>
  <c r="L23" i="4"/>
  <c r="P545" i="3" l="1"/>
  <c r="P544" i="3" s="1"/>
  <c r="N336" i="3"/>
  <c r="T31" i="4"/>
  <c r="K31" i="4"/>
  <c r="P745" i="3"/>
  <c r="R336" i="3"/>
  <c r="Q483" i="3"/>
  <c r="M31" i="4"/>
  <c r="L36" i="4"/>
  <c r="S31" i="4"/>
  <c r="H36" i="4"/>
  <c r="Q19" i="3"/>
  <c r="Q18" i="3" s="1"/>
  <c r="N543" i="3"/>
  <c r="K74" i="4"/>
  <c r="I25" i="4"/>
  <c r="I18" i="4" s="1"/>
  <c r="S25" i="4"/>
  <c r="S18" i="4" s="1"/>
  <c r="T745" i="3"/>
  <c r="AA713" i="3" s="1"/>
  <c r="AA712" i="3" s="1"/>
  <c r="AA711" i="3" s="1"/>
  <c r="AA653" i="3" s="1"/>
  <c r="O336" i="3"/>
  <c r="AB200" i="3"/>
  <c r="AB199" i="3" s="1"/>
  <c r="AA543" i="3"/>
  <c r="W336" i="3"/>
  <c r="P25" i="4"/>
  <c r="P18" i="4" s="1"/>
  <c r="P798" i="3"/>
  <c r="P797" i="3" s="1"/>
  <c r="P796" i="3" s="1"/>
  <c r="H37" i="4"/>
  <c r="H31" i="4" s="1"/>
  <c r="R543" i="3"/>
  <c r="G54" i="4"/>
  <c r="G53" i="4" s="1"/>
  <c r="V19" i="3"/>
  <c r="V18" i="3" s="1"/>
  <c r="R19" i="3"/>
  <c r="R18" i="3" s="1"/>
  <c r="P43" i="3"/>
  <c r="H48" i="4" s="1"/>
  <c r="H46" i="4" s="1"/>
  <c r="N37" i="4"/>
  <c r="N31" i="4" s="1"/>
  <c r="AA336" i="3"/>
  <c r="S336" i="3"/>
  <c r="V543" i="3"/>
  <c r="T43" i="3"/>
  <c r="L48" i="4" s="1"/>
  <c r="L46" i="4" s="1"/>
  <c r="Y200" i="3"/>
  <c r="N65" i="5"/>
  <c r="N17" i="5" s="1"/>
  <c r="N16" i="5" s="1"/>
  <c r="N606" i="5" s="1"/>
  <c r="R65" i="5"/>
  <c r="R17" i="5" s="1"/>
  <c r="K25" i="4"/>
  <c r="K18" i="4" s="1"/>
  <c r="Q49" i="4"/>
  <c r="AB336" i="3"/>
  <c r="U336" i="3"/>
  <c r="L25" i="4"/>
  <c r="P212" i="3"/>
  <c r="P211" i="3" s="1"/>
  <c r="P206" i="3" s="1"/>
  <c r="H21" i="4" s="1"/>
  <c r="P322" i="3"/>
  <c r="P321" i="3" s="1"/>
  <c r="P320" i="3" s="1"/>
  <c r="R475" i="5"/>
  <c r="M432" i="5"/>
  <c r="M606" i="5" s="1"/>
  <c r="Q16" i="5"/>
  <c r="Q606" i="5" s="1"/>
  <c r="X16" i="5"/>
  <c r="X606" i="5" s="1"/>
  <c r="X608" i="5" s="1"/>
  <c r="T212" i="3"/>
  <c r="T211" i="3" s="1"/>
  <c r="T206" i="3" s="1"/>
  <c r="L21" i="4" s="1"/>
  <c r="J16" i="5"/>
  <c r="J606" i="5" s="1"/>
  <c r="W281" i="3"/>
  <c r="W247" i="3" s="1"/>
  <c r="R281" i="3"/>
  <c r="R247" i="3" s="1"/>
  <c r="K16" i="5"/>
  <c r="K606" i="5" s="1"/>
  <c r="Y16" i="5"/>
  <c r="Y606" i="5" s="1"/>
  <c r="Y608" i="5" s="1"/>
  <c r="Q25" i="4"/>
  <c r="Q18" i="4" s="1"/>
  <c r="O16" i="5"/>
  <c r="O606" i="5" s="1"/>
  <c r="S543" i="3"/>
  <c r="H25" i="4"/>
  <c r="N25" i="4"/>
  <c r="N18" i="4" s="1"/>
  <c r="R27" i="4"/>
  <c r="R26" i="4" s="1"/>
  <c r="L37" i="4"/>
  <c r="D25" i="4"/>
  <c r="N19" i="3"/>
  <c r="N18" i="3" s="1"/>
  <c r="R25" i="4"/>
  <c r="R18" i="4" s="1"/>
  <c r="I38" i="4"/>
  <c r="T322" i="3"/>
  <c r="T321" i="3" s="1"/>
  <c r="T320" i="3" s="1"/>
  <c r="M783" i="3"/>
  <c r="M782" i="3" s="1"/>
  <c r="R711" i="3"/>
  <c r="R653" i="3" s="1"/>
  <c r="J49" i="4"/>
  <c r="J46" i="4" s="1"/>
  <c r="M25" i="4"/>
  <c r="M18" i="4" s="1"/>
  <c r="X543" i="3"/>
  <c r="R483" i="3"/>
  <c r="I37" i="4"/>
  <c r="I31" i="4" s="1"/>
  <c r="N63" i="4"/>
  <c r="N62" i="4" s="1"/>
  <c r="Q38" i="4"/>
  <c r="E54" i="4"/>
  <c r="E53" i="4" s="1"/>
  <c r="Q712" i="3"/>
  <c r="Q711" i="3" s="1"/>
  <c r="Q653" i="3" s="1"/>
  <c r="X712" i="3"/>
  <c r="P54" i="4" s="1"/>
  <c r="P53" i="4" s="1"/>
  <c r="V712" i="3"/>
  <c r="V711" i="3" s="1"/>
  <c r="V653" i="3" s="1"/>
  <c r="P483" i="3"/>
  <c r="Y583" i="3"/>
  <c r="Y543" i="3" s="1"/>
  <c r="X483" i="3"/>
  <c r="I62" i="4"/>
  <c r="W483" i="3"/>
  <c r="AB483" i="3"/>
  <c r="O38" i="4"/>
  <c r="R38" i="4"/>
  <c r="L199" i="3"/>
  <c r="X200" i="3"/>
  <c r="X199" i="3" s="1"/>
  <c r="F54" i="4"/>
  <c r="F53" i="4" s="1"/>
  <c r="Y336" i="3"/>
  <c r="L543" i="3"/>
  <c r="U543" i="3"/>
  <c r="P543" i="3"/>
  <c r="S200" i="3"/>
  <c r="S199" i="3" s="1"/>
  <c r="O19" i="3"/>
  <c r="O18" i="3" s="1"/>
  <c r="P38" i="4"/>
  <c r="M38" i="4"/>
  <c r="L653" i="3"/>
  <c r="V200" i="3"/>
  <c r="V199" i="3" s="1"/>
  <c r="M199" i="3"/>
  <c r="U19" i="3"/>
  <c r="U18" i="3" s="1"/>
  <c r="T543" i="3"/>
  <c r="AA200" i="3"/>
  <c r="AA199" i="3" s="1"/>
  <c r="E25" i="4"/>
  <c r="P37" i="4"/>
  <c r="P31" i="4" s="1"/>
  <c r="W543" i="3"/>
  <c r="O543" i="3"/>
  <c r="J38" i="4"/>
  <c r="N200" i="3"/>
  <c r="N199" i="3" s="1"/>
  <c r="G25" i="4"/>
  <c r="V16" i="5"/>
  <c r="V606" i="5" s="1"/>
  <c r="N38" i="4"/>
  <c r="F25" i="4"/>
  <c r="L16" i="5"/>
  <c r="L606" i="5" s="1"/>
  <c r="T16" i="5"/>
  <c r="T606" i="5" s="1"/>
  <c r="P606" i="5"/>
  <c r="U16" i="5"/>
  <c r="U606" i="5" s="1"/>
  <c r="S17" i="5"/>
  <c r="S16" i="5" s="1"/>
  <c r="S606" i="5" s="1"/>
  <c r="W16" i="5"/>
  <c r="W606" i="5" s="1"/>
  <c r="S38" i="4"/>
  <c r="Z200" i="3"/>
  <c r="Z199" i="3" s="1"/>
  <c r="U200" i="3"/>
  <c r="U199" i="3" s="1"/>
  <c r="H38" i="4"/>
  <c r="W19" i="3"/>
  <c r="W18" i="3" s="1"/>
  <c r="G18" i="4"/>
  <c r="X19" i="3"/>
  <c r="X18" i="3" s="1"/>
  <c r="F18" i="4"/>
  <c r="O46" i="4"/>
  <c r="AB19" i="3"/>
  <c r="AB18" i="3" s="1"/>
  <c r="AA19" i="3"/>
  <c r="AA18" i="3" s="1"/>
  <c r="S19" i="3"/>
  <c r="S18" i="3" s="1"/>
  <c r="T38" i="4"/>
  <c r="L38" i="4"/>
  <c r="Z16" i="5"/>
  <c r="Z606" i="5" s="1"/>
  <c r="U713" i="3"/>
  <c r="AB713" i="3"/>
  <c r="AB712" i="3" s="1"/>
  <c r="P713" i="3"/>
  <c r="W713" i="3"/>
  <c r="W712" i="3" s="1"/>
  <c r="D54" i="4"/>
  <c r="D53" i="4" s="1"/>
  <c r="D69" i="4" s="1"/>
  <c r="R37" i="4"/>
  <c r="R31" i="4" s="1"/>
  <c r="Q200" i="3"/>
  <c r="Q199" i="3" s="1"/>
  <c r="S46" i="4"/>
  <c r="O200" i="3"/>
  <c r="N46" i="4"/>
  <c r="R46" i="4"/>
  <c r="Z19" i="3"/>
  <c r="Z18" i="3" s="1"/>
  <c r="I46" i="4"/>
  <c r="T46" i="4"/>
  <c r="P46" i="4"/>
  <c r="K46" i="4"/>
  <c r="G46" i="4"/>
  <c r="K38" i="4"/>
  <c r="M46" i="4"/>
  <c r="Z711" i="3"/>
  <c r="Z653" i="3" s="1"/>
  <c r="R54" i="4"/>
  <c r="R53" i="4" s="1"/>
  <c r="M653" i="3"/>
  <c r="Y711" i="3"/>
  <c r="Y653" i="3" s="1"/>
  <c r="Q54" i="4"/>
  <c r="Q53" i="4" s="1"/>
  <c r="S711" i="3"/>
  <c r="S653" i="3" s="1"/>
  <c r="K54" i="4"/>
  <c r="K53" i="4" s="1"/>
  <c r="Z543" i="3"/>
  <c r="V265" i="5"/>
  <c r="Y266" i="5"/>
  <c r="Y265" i="5" s="1"/>
  <c r="Z266" i="5"/>
  <c r="Z265" i="5" s="1"/>
  <c r="R69" i="4" l="1"/>
  <c r="Y199" i="3"/>
  <c r="P69" i="4"/>
  <c r="K69" i="4"/>
  <c r="L31" i="4"/>
  <c r="T713" i="3"/>
  <c r="T712" i="3" s="1"/>
  <c r="T711" i="3" s="1"/>
  <c r="T653" i="3" s="1"/>
  <c r="I54" i="4"/>
  <c r="I53" i="4" s="1"/>
  <c r="I69" i="4" s="1"/>
  <c r="O199" i="3"/>
  <c r="S54" i="4"/>
  <c r="S53" i="4" s="1"/>
  <c r="S69" i="4" s="1"/>
  <c r="T25" i="4"/>
  <c r="T18" i="4" s="1"/>
  <c r="S859" i="3"/>
  <c r="T19" i="3"/>
  <c r="T18" i="3" s="1"/>
  <c r="P19" i="3"/>
  <c r="P18" i="3" s="1"/>
  <c r="H18" i="4"/>
  <c r="L18" i="4"/>
  <c r="P319" i="3"/>
  <c r="H27" i="4"/>
  <c r="H26" i="4" s="1"/>
  <c r="P200" i="3"/>
  <c r="P199" i="3" s="1"/>
  <c r="R471" i="5"/>
  <c r="R432" i="5" s="1"/>
  <c r="T200" i="3"/>
  <c r="R16" i="5"/>
  <c r="J25" i="4"/>
  <c r="J18" i="4" s="1"/>
  <c r="J69" i="4" s="1"/>
  <c r="R200" i="3"/>
  <c r="R199" i="3" s="1"/>
  <c r="O25" i="4"/>
  <c r="O18" i="4" s="1"/>
  <c r="W200" i="3"/>
  <c r="W199" i="3" s="1"/>
  <c r="N859" i="3"/>
  <c r="R859" i="3"/>
  <c r="T319" i="3"/>
  <c r="L27" i="4"/>
  <c r="L26" i="4" s="1"/>
  <c r="X711" i="3"/>
  <c r="X653" i="3" s="1"/>
  <c r="N54" i="4"/>
  <c r="N53" i="4" s="1"/>
  <c r="N69" i="4" s="1"/>
  <c r="X859" i="3"/>
  <c r="F69" i="4"/>
  <c r="U712" i="3"/>
  <c r="M54" i="4" s="1"/>
  <c r="M53" i="4" s="1"/>
  <c r="M69" i="4" s="1"/>
  <c r="P712" i="3"/>
  <c r="P711" i="3" s="1"/>
  <c r="P653" i="3" s="1"/>
  <c r="V859" i="3"/>
  <c r="M859" i="3"/>
  <c r="L859" i="3"/>
  <c r="O859" i="3"/>
  <c r="G69" i="4"/>
  <c r="T54" i="4"/>
  <c r="T53" i="4" s="1"/>
  <c r="AB711" i="3"/>
  <c r="AB653" i="3" s="1"/>
  <c r="AB859" i="3" s="1"/>
  <c r="W711" i="3"/>
  <c r="W653" i="3" s="1"/>
  <c r="O54" i="4"/>
  <c r="O53" i="4" s="1"/>
  <c r="Z859" i="3"/>
  <c r="AA859" i="3"/>
  <c r="Q859" i="3"/>
  <c r="O69" i="4" l="1"/>
  <c r="T199" i="3"/>
  <c r="T69" i="4"/>
  <c r="L69" i="4"/>
  <c r="P859" i="3"/>
  <c r="R606" i="5"/>
  <c r="W859" i="3"/>
  <c r="W862" i="3" s="1"/>
  <c r="T859" i="3"/>
  <c r="L54" i="4"/>
  <c r="L53" i="4" s="1"/>
  <c r="H54" i="4"/>
  <c r="H53" i="4" s="1"/>
  <c r="H69" i="4" s="1"/>
  <c r="U711" i="3"/>
  <c r="U653" i="3" s="1"/>
  <c r="U859" i="3" s="1"/>
  <c r="Y82" i="3"/>
  <c r="Y81" i="3" s="1"/>
  <c r="Y44" i="3" l="1"/>
  <c r="Y43" i="3" s="1"/>
  <c r="W290" i="5"/>
  <c r="W289" i="5" s="1"/>
  <c r="Q48" i="4" l="1"/>
  <c r="Q46" i="4" s="1"/>
  <c r="Q69" i="4" s="1"/>
  <c r="Y19" i="3"/>
  <c r="Y18" i="3" s="1"/>
  <c r="Y859" i="3" s="1"/>
</calcChain>
</file>

<file path=xl/sharedStrings.xml><?xml version="1.0" encoding="utf-8"?>
<sst xmlns="http://schemas.openxmlformats.org/spreadsheetml/2006/main" count="12176" uniqueCount="468">
  <si>
    <t>8011</t>
  </si>
  <si>
    <t>15</t>
  </si>
  <si>
    <t>61</t>
  </si>
  <si>
    <t>62</t>
  </si>
  <si>
    <t>63</t>
  </si>
  <si>
    <t>64</t>
  </si>
  <si>
    <t>65</t>
  </si>
  <si>
    <t>66</t>
  </si>
  <si>
    <t>8033</t>
  </si>
  <si>
    <t>73</t>
  </si>
  <si>
    <t>Мероприятия в сфере культуры, искусства и туризма</t>
  </si>
  <si>
    <t>Мероприятия в сфере молодежной политики</t>
  </si>
  <si>
    <t>8007</t>
  </si>
  <si>
    <t>8003</t>
  </si>
  <si>
    <t>8009</t>
  </si>
  <si>
    <t>8019</t>
  </si>
  <si>
    <t>8012</t>
  </si>
  <si>
    <t>8013</t>
  </si>
  <si>
    <t>8010</t>
  </si>
  <si>
    <t>Непрограммные расходы в области социальной политики</t>
  </si>
  <si>
    <t>8015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</si>
  <si>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</si>
  <si>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</si>
  <si>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</si>
  <si>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Осуществление государственных полномочий по созданию комиссий по делам несовершеннолетних и защите их прав</t>
  </si>
  <si>
    <t>68</t>
  </si>
  <si>
    <t>Итого:</t>
  </si>
  <si>
    <t>8001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</si>
  <si>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</si>
  <si>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</si>
  <si>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 xml:space="preserve">Обеспечение деятельности контрольно-счетной комиссии </t>
  </si>
  <si>
    <t>Обеспечение деятельности исполнительных органов местного самоуправления</t>
  </si>
  <si>
    <t>II. НЕПРОГРАММНЫЕ НАПРАВЛЕНИЯ ДЕЯТЕЛЬНОСТИ</t>
  </si>
  <si>
    <t>Непрограммные расходы в области национальной безопасности и правоохранительной деятельности</t>
  </si>
  <si>
    <t>335</t>
  </si>
  <si>
    <t>Сельское хозяйство и рыболовство</t>
  </si>
  <si>
    <t>Культура, кинематография</t>
  </si>
  <si>
    <t>Водное хозяйство</t>
  </si>
  <si>
    <t>Раз-дел</t>
  </si>
  <si>
    <t>Под-раз-дел</t>
  </si>
  <si>
    <t>4</t>
  </si>
  <si>
    <t>Другие вопросы в области культуры, кинематографии</t>
  </si>
  <si>
    <t>Физическая культура и спорт</t>
  </si>
  <si>
    <t xml:space="preserve">        Всего</t>
  </si>
  <si>
    <t>Физическая культура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</si>
  <si>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</si>
  <si>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Иные непрограммные расходы в области общегосударственных вопросов</t>
  </si>
  <si>
    <t>Мероприятия в сфере общегосударственных вопросов, осуществляемые органами местного самоуправления</t>
  </si>
  <si>
    <t>Представительские расходы органов местного самоуправления</t>
  </si>
  <si>
    <t>Мероприятия в области физической культуры и спорта</t>
  </si>
  <si>
    <t>Резервные средства</t>
  </si>
  <si>
    <t>Расходы на обеспечение деятельности подведомственных учреждений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</si>
  <si>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</si>
  <si>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</si>
  <si>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</si>
  <si>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</si>
  <si>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</si>
  <si>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</si>
  <si>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</si>
  <si>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</si>
  <si>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</si>
  <si>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</si>
  <si>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</si>
  <si>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</si>
  <si>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</si>
  <si>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</si>
  <si>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</si>
  <si>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</si>
  <si>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7891</t>
  </si>
  <si>
    <t>01</t>
  </si>
  <si>
    <t>06</t>
  </si>
  <si>
    <t>04</t>
  </si>
  <si>
    <t>03</t>
  </si>
  <si>
    <t>05</t>
  </si>
  <si>
    <t>07</t>
  </si>
  <si>
    <t>08</t>
  </si>
  <si>
    <t>02</t>
  </si>
  <si>
    <t>Жилищно-коммунальное хозяйство</t>
  </si>
  <si>
    <t>Образование</t>
  </si>
  <si>
    <t>Социальная политика</t>
  </si>
  <si>
    <t>ВСЕГО</t>
  </si>
  <si>
    <t>Наименование</t>
  </si>
  <si>
    <t>Резервные фонды</t>
  </si>
  <si>
    <t>х</t>
  </si>
  <si>
    <t>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</si>
  <si>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</si>
  <si>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</si>
  <si>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</si>
  <si>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</si>
  <si>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Коммунальное хозяйство</t>
  </si>
  <si>
    <t>Общее образование</t>
  </si>
  <si>
    <t>Другие вопросы в области образования</t>
  </si>
  <si>
    <t>Культура</t>
  </si>
  <si>
    <t>целевая статья</t>
  </si>
  <si>
    <t>Другие вопросы в области национальной экономики</t>
  </si>
  <si>
    <t>11</t>
  </si>
  <si>
    <t>Мероприятия по землеустройству и землепользованию</t>
  </si>
  <si>
    <t>Социальное обеспечение населения</t>
  </si>
  <si>
    <t>Другие общегосударственные вопросы</t>
  </si>
  <si>
    <t>Пенсионное обеспечение</t>
  </si>
  <si>
    <t>12</t>
  </si>
  <si>
    <t>Межбюджетные трансферты</t>
  </si>
  <si>
    <t>14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</si>
  <si>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</si>
  <si>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</si>
  <si>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</si>
  <si>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Осуществление государственных полномочий по организации и осуществлению деятельности по опеке и попечительству</t>
  </si>
  <si>
    <t>095</t>
  </si>
  <si>
    <t>071</t>
  </si>
  <si>
    <t>331</t>
  </si>
  <si>
    <t>332</t>
  </si>
  <si>
    <t>Охрана семьи и детства</t>
  </si>
  <si>
    <t>раз-дел</t>
  </si>
  <si>
    <t>под-раз-дел</t>
  </si>
  <si>
    <t>500</t>
  </si>
  <si>
    <t>Иные межбюджетные трансферты</t>
  </si>
  <si>
    <t>гла-ва</t>
  </si>
  <si>
    <t>вид рас-хо-дов</t>
  </si>
  <si>
    <t>333</t>
  </si>
  <si>
    <t>334</t>
  </si>
  <si>
    <t>13</t>
  </si>
  <si>
    <t xml:space="preserve">Другие вопросы в области культуры, кинематографии </t>
  </si>
  <si>
    <t>Дорожное хозяйство (дорожные фонды)</t>
  </si>
  <si>
    <t xml:space="preserve">Физическая культура </t>
  </si>
  <si>
    <t>Физическая культура 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</si>
  <si>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</si>
  <si>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
для государственных (муниципальных) нужд</t>
  </si>
  <si>
    <t>Расходы на выплату персоналу казенных учреждений</t>
  </si>
  <si>
    <t xml:space="preserve">I.  МУНИЦИПАЛЬНЫЕ ПРОГРАММЫ </t>
  </si>
  <si>
    <t>Мероприятия в области образования</t>
  </si>
  <si>
    <t>Жилищное хозяйство</t>
  </si>
  <si>
    <t>№ п/п</t>
  </si>
  <si>
    <t xml:space="preserve">Целевая статья </t>
  </si>
  <si>
    <t>2</t>
  </si>
  <si>
    <t>3</t>
  </si>
  <si>
    <t>0</t>
  </si>
  <si>
    <t>0000</t>
  </si>
  <si>
    <t>1</t>
  </si>
  <si>
    <t>Поддержка сельскохозяйственного производства</t>
  </si>
  <si>
    <t>8022</t>
  </si>
  <si>
    <t>810</t>
  </si>
  <si>
    <t>8024</t>
  </si>
  <si>
    <t>540</t>
  </si>
  <si>
    <t>Расходы на обеспечение деятельности домов культуры</t>
  </si>
  <si>
    <t>8034</t>
  </si>
  <si>
    <t>Расходы на обеспечение деятельности библиотек</t>
  </si>
  <si>
    <t>8035</t>
  </si>
  <si>
    <t>Расходы на обеспечение деятельности общеобразовательных учреждений</t>
  </si>
  <si>
    <t>8036</t>
  </si>
  <si>
    <t>600</t>
  </si>
  <si>
    <t>Расходы на обеспечение деятельности образовательных учреждений по внешкольной работе с детьми</t>
  </si>
  <si>
    <t>8037</t>
  </si>
  <si>
    <t>Дошкольное образование</t>
  </si>
  <si>
    <t>350</t>
  </si>
  <si>
    <t xml:space="preserve">Социальное обеспечение и иные выплаты населению
</t>
  </si>
  <si>
    <t>Премии и гранты</t>
  </si>
  <si>
    <t>630</t>
  </si>
  <si>
    <t>16</t>
  </si>
  <si>
    <t>R082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</si>
  <si>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</si>
  <si>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400</t>
  </si>
  <si>
    <t>410</t>
  </si>
  <si>
    <t xml:space="preserve">Бюджетные инвестиции </t>
  </si>
  <si>
    <t>Благоустройство</t>
  </si>
  <si>
    <t>S833</t>
  </si>
  <si>
    <t>8050</t>
  </si>
  <si>
    <t>Взносы на капитальный ремонт многоквартирных домов, находящихся в муниципальной собственности</t>
  </si>
  <si>
    <t>8052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</si>
  <si>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</si>
  <si>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8032</t>
  </si>
  <si>
    <t>Другие вопросы в области социальной политики</t>
  </si>
  <si>
    <t>120</t>
  </si>
  <si>
    <t>Мероприятия в области коммунального хозяйства</t>
  </si>
  <si>
    <t>830</t>
  </si>
  <si>
    <t>Исполнение судебных актов</t>
  </si>
  <si>
    <t>8006</t>
  </si>
  <si>
    <t>Бюджетные инвестиции в объекты капитального строительства собственности муниципальных образований</t>
  </si>
  <si>
    <t xml:space="preserve"> Мероприятия в сфере культуры, искусства и туризма</t>
  </si>
  <si>
    <t>Транспорт</t>
  </si>
  <si>
    <t>Организация ритуальных услуг и содержание мест захоронения</t>
  </si>
  <si>
    <t xml:space="preserve">Молодежная политика </t>
  </si>
  <si>
    <t>Дополнительное образование детей</t>
  </si>
  <si>
    <t>S841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</si>
  <si>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</si>
  <si>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18</t>
  </si>
  <si>
    <t>Мероприятия в сфере жилищного хозяйства</t>
  </si>
  <si>
    <t>8040</t>
  </si>
  <si>
    <t>Капитальные вложения в объекты государственной (муниципальной) собственности</t>
  </si>
  <si>
    <t>Обеспечение пожарной безопасности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</si>
  <si>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</si>
  <si>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Другие вопросы в области физической культуры и спорта</t>
  </si>
  <si>
    <t>Профессиональная подготовка, переподготовка и повышение квалификации</t>
  </si>
  <si>
    <t>5120</t>
  </si>
  <si>
    <t>Судебная система</t>
  </si>
  <si>
    <t>19</t>
  </si>
  <si>
    <t>Создание условий для обеспечения поселений услугами торговли</t>
  </si>
  <si>
    <t>8014</t>
  </si>
  <si>
    <t>L497</t>
  </si>
  <si>
    <t>8038</t>
  </si>
  <si>
    <t>870</t>
  </si>
  <si>
    <t xml:space="preserve">к решению Собрания депутатов </t>
  </si>
  <si>
    <t xml:space="preserve">  к решению Собрания депутатов </t>
  </si>
  <si>
    <t>Д</t>
  </si>
  <si>
    <t>8063</t>
  </si>
  <si>
    <t>Исполнение судебных актов, предусматривающих обращение взыскания на средства бюджета</t>
  </si>
  <si>
    <t>8064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</si>
  <si>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 за счет средств муниципального дорожного фонда</t>
  </si>
  <si>
    <t>Другие вопросы в области охраны окружающей среды</t>
  </si>
  <si>
    <t>Охрана окружающей среды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</si>
  <si>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</si>
  <si>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от                            2019 года  № </t>
  </si>
  <si>
    <t>L576</t>
  </si>
  <si>
    <t>8053</t>
  </si>
  <si>
    <t>Организация сбора, транспортировки и утилизации отходов</t>
  </si>
  <si>
    <t>Иные общегосударственные вопросы</t>
  </si>
  <si>
    <t>8069</t>
  </si>
  <si>
    <t xml:space="preserve">Разработка генеральных планов и правил землепользования и застройки, проектов планировки территории и проектов межеваний территорий </t>
  </si>
  <si>
    <t>8017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</si>
  <si>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</si>
  <si>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8068</t>
  </si>
  <si>
    <t>620</t>
  </si>
  <si>
    <t xml:space="preserve"> Внедрение и обеспечение функционирования модели персонифицированного финансирования дополнительного образования детей</t>
  </si>
  <si>
    <t xml:space="preserve">   Субсидии автономным учреждениям</t>
  </si>
  <si>
    <t>L304</t>
  </si>
  <si>
    <t xml:space="preserve"> Мероприятия в сфере молодежной политики</t>
  </si>
  <si>
    <t>8055</t>
  </si>
  <si>
    <t>7824</t>
  </si>
  <si>
    <t>Муниципальная программа "Энергосбережение и повышение энергетической эффективности в муниципальном образовании "Пинежский муниципальный район" на 2014-2021 годы"</t>
  </si>
  <si>
    <t>Защита населения и территории от  чрезвычайных ситуаций природного и техногенного характера, пожарная безопасность</t>
  </si>
  <si>
    <t xml:space="preserve">  Мероприятия в сфере молодежной политики</t>
  </si>
  <si>
    <t>L519</t>
  </si>
  <si>
    <t>Субсидии автономным учреждениям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</si>
  <si>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</si>
  <si>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Сумма, рублей</t>
  </si>
  <si>
    <t>2022 год</t>
  </si>
  <si>
    <t>2024 год</t>
  </si>
  <si>
    <t>5</t>
  </si>
  <si>
    <t>6</t>
  </si>
  <si>
    <t>Вид расходов</t>
  </si>
  <si>
    <t>Развитие сети учреждений культурно-досугового типа</t>
  </si>
  <si>
    <t>8</t>
  </si>
  <si>
    <t>79</t>
  </si>
  <si>
    <t>Организация транспортного обслуживания по муниципальным маршрутам регулярных автобусных перевозок</t>
  </si>
  <si>
    <t>8072</t>
  </si>
  <si>
    <t>310</t>
  </si>
  <si>
    <t>Публичные нормативные социальные выплаты гражданам</t>
  </si>
  <si>
    <t>Условно утвержденные расходы</t>
  </si>
  <si>
    <t>Муниципальная программа "Энергосбережение и повышение энергетической эффективности в муниципальном образовании "Пинежский муниципальный район" на 2014-2024 годы"</t>
  </si>
  <si>
    <t>5513</t>
  </si>
  <si>
    <t>21</t>
  </si>
  <si>
    <t>поправки</t>
  </si>
  <si>
    <t xml:space="preserve"> Мероприятия в сфере обеспечения пожарной безопасности и защиты населения от чрезвычайных ситуаций</t>
  </si>
  <si>
    <t>Мероприятия в сфере обеспечения пожарной безопасности и защиты населения от чрезвычайных ситуаций</t>
  </si>
  <si>
    <t>7680</t>
  </si>
  <si>
    <t>Организация транспортного обслуживания населения на пассажирских муниципальных маршрутах водного транспорта</t>
  </si>
  <si>
    <t>S824</t>
  </si>
  <si>
    <t>S682</t>
  </si>
  <si>
    <t>8075</t>
  </si>
  <si>
    <t>Мероприятия по ремонту автомобильной дороги "Шилега -Березник"</t>
  </si>
  <si>
    <t>S636</t>
  </si>
  <si>
    <t>Организация транспортного обслуживания населения на пассажирских муниципальных маршрутах автомобильного транспорта</t>
  </si>
  <si>
    <t xml:space="preserve">                            к решению Собрания депутатов </t>
  </si>
  <si>
    <t>2025 год</t>
  </si>
  <si>
    <t>Пенсия за выслугу лет муниципальным служащим</t>
  </si>
  <si>
    <t>S822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</si>
  <si>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субвенций местным бюджетам)</t>
  </si>
  <si>
    <t>S031</t>
  </si>
  <si>
    <t>20</t>
  </si>
  <si>
    <t>Распределение бюджетных ассигнований по разделам и подразделам классификации расходов бюджетов на 2024 год и на плановый период 2025 и 2026 годов</t>
  </si>
  <si>
    <t>2026 год</t>
  </si>
  <si>
    <t xml:space="preserve">2024 год </t>
  </si>
  <si>
    <t>Распределение  бюджетных ассигнований на реализацию муниципальных программ Пинежского муниципального округа и непрограммных направлений деятельности на 2024 год и на плановый период 2025 и 2026 годов</t>
  </si>
  <si>
    <t>Ведомственная структура расходов местного бюджета на 2024 год и на плановый период 2025 и 2026 годов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</si>
  <si>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(субвенции бюджетам муниципальных районов, муниципальных округов и городских округов Архангельской области) </t>
  </si>
  <si>
    <t>Субвенции бюджетам муниципальных районов, муниципальных округов и городских округов Архангельской области на компенсацию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</si>
  <si>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Л865</t>
  </si>
  <si>
    <t>Субвенции бюджетам муниципальных районов, муниципальных округов и городских округов Архангельской области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</si>
  <si>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Л839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</si>
  <si>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районов, муниципальных округов и городских округов Архангельской области)</t>
  </si>
  <si>
    <t>Л862</t>
  </si>
  <si>
    <t>Субвенции бюджетам муниципальных районов, муниципальных округов и городских округов Архангельской области на реализацию образовательных программ</t>
  </si>
  <si>
    <t>Л870</t>
  </si>
  <si>
    <t>Субвенции бюджетам муниципальных районов, муниципальных округов и городских округов Архангельской области на осуществление государственных полномочий по формированию торгового реестра</t>
  </si>
  <si>
    <t>Л879</t>
  </si>
  <si>
    <t>Национальная оборона</t>
  </si>
  <si>
    <t>Мобилизационная и вневойсковая подготовка</t>
  </si>
  <si>
    <t>5118</t>
  </si>
  <si>
    <t>Осуществление первичного воинского учета органами местного самоуправления поселений, муниципальных и городских округов (субвенции бюджетам муниципальных районов, муниципальных округов и городских округов Архангельской области)</t>
  </si>
  <si>
    <t>Л871</t>
  </si>
  <si>
    <t>Субвенции бюджетам муниципальных районов, муниципальных округов и городских округов Архангельской области на осуществление государственных полномочий в сфере охраны труда</t>
  </si>
  <si>
    <t>Субсидия бюджетам муниципальных районов, муниципальных округов и городских округов Архангельской области на доставку муки и лекарственных средств в районы Крайнего Севера и приравненные к ним местности с ограниченными сроками завоза грузов</t>
  </si>
  <si>
    <t>Л832</t>
  </si>
  <si>
    <t>Субвенции бюджетам муниципальных районов, муниципальных округов и городских округов Архангельской области на 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</si>
  <si>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Л873</t>
  </si>
  <si>
    <t>Субвенции бюджетам муниципальных районов, муниципальных округов и городских округов Архангельской области на осуществление государственных полномочий по выплате вознаграждений профессиональным опекунам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</si>
  <si>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(субвенции бюджетам муниципальных районов, муниципальных округов и городских округов Архангельской области)</t>
  </si>
  <si>
    <t>Субсидии бюджетам муниципальных районов, муниципальных округов и городских округов Архангельской области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</si>
  <si>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Субсидии бюджетам муниципальных районов, муниципальных округов, городских округов и городских поселений Архангельской области на комплектование книжных фондов библиотек муниципальных образований Архангельской области и подписку на периодическую печать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</si>
  <si>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 (субсидии бюджетам муниципальных районов, муниципальных округов, городских округов и городских поселений Архангельской области))</t>
  </si>
  <si>
    <t>Иные межбюджетные трансферты бюджетам муниципальных районов, муниципальных округов и городских округов Архангельской области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на территории Архангельской области</t>
  </si>
  <si>
    <t>Субсидии бюджетам муниципальных районов, муниципальных округов, городских округов, городских и сельских поселений Архангельской области на софинансирование капитальных вложений в объекты муниципальной собственности муниципальных образований Архангельской области</t>
  </si>
  <si>
    <t>S842</t>
  </si>
  <si>
    <t>Иные межбюджетные трансферты бюджетам муниципальных районов, муниципальных округов и городских округов Архангельской области на поддержку территориального общественного самоуправления</t>
  </si>
  <si>
    <t>Л863</t>
  </si>
  <si>
    <t>Субвенции бюджетам муниципальных округов Архангельской области на осуществление государственных полномочий Архангельской области по выплате денежной компенсации отдельным категориям лиц, замещавшим муниципальные должности, в случае досрочного прекращения их полномочий в связи с созданием муниципальных округов Архангельской области</t>
  </si>
  <si>
    <t>Субсидии бюджетам муниципальных районов, муниципальных округов, городских и сельских поселений Архангельской области на софинансирование выплаты выходных пособий муниципальным служащим и другим работникам органов местного самоуправления, уволенным в связи с ликвидацией таких органов вследствие создания муниципальных округов Архангельской области, и среднего месячного заработка за период трудоустройства или единовременной компенсации</t>
  </si>
  <si>
    <t>Субвенции бюджетам муниципальных районов, муниципальных округов и городских округов Архангельской области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</si>
  <si>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Л869</t>
  </si>
  <si>
    <t>Реализация мероприятий по обеспечению жильем молодых семей (субсидии бюджетам муниципальных районов, муниципальных округов, городских округов и городских поселений Архангельской области на софинансирование расходных обязательств муниципальных образований Архангельской области на предоставление социальных выплат молодым семьям на приобретение (строительство) жилья)</t>
  </si>
  <si>
    <t>Л</t>
  </si>
  <si>
    <t>Обеспечение комплексного развития сельских территорий (субсидии бюджетам муниципальных районов, муниципальных округов и городских округов Архангельской области на улучшение жилищных условий граждан, проживающих на сельских территориях)</t>
  </si>
  <si>
    <t>S645</t>
  </si>
  <si>
    <t>Муниципальная программа "Развитие общего образования и воспитания детей в Пинежском муниципальном округе"</t>
  </si>
  <si>
    <t>Непрограммые расходы в области национальной обороны</t>
  </si>
  <si>
    <t>67</t>
  </si>
  <si>
    <t xml:space="preserve">Поддержка муниципальных программ формирования современной городской среды </t>
  </si>
  <si>
    <t>8058</t>
  </si>
  <si>
    <t>КУМИ и ЖКХ администрации Пинежского муниципального округа</t>
  </si>
  <si>
    <t>Собрание депутатов Пинежского муниципального округа</t>
  </si>
  <si>
    <t>Администрация Пинежского муниципального округа</t>
  </si>
  <si>
    <t>Комитет по финансам Администрации Пинежского муниципального округа</t>
  </si>
  <si>
    <t>Управление образования администрации Пинежского муниципального округа</t>
  </si>
  <si>
    <t>Отдел по культуре и туризму Администрации Пинежского муниципального округа</t>
  </si>
  <si>
    <t>Контрольно-счетная комиссия Пинежского муниципального округа</t>
  </si>
  <si>
    <t>Председатель Контрольно-счетной комиссии Пинежского муниципального округа</t>
  </si>
  <si>
    <t>Муниципальная программа "Развитие агропромышленного комплекса Пинежского муниципального округа Архангельской области"</t>
  </si>
  <si>
    <t>Муниципальная программа "Комплексное развитие сельских территорий Пинежского муниципального округа Архангельской области"</t>
  </si>
  <si>
    <t xml:space="preserve">Муниципальная программа "Развитие земельно-имущественных отношений в Пинежском муниципальном округе Архангельской области" </t>
  </si>
  <si>
    <t>Муниципальная программа "Развитие земельно-имущественных отношений в  Пинежском муниципальном округе Архангельской области"</t>
  </si>
  <si>
    <t>Муниципальная программа "Энергосбережение и повышение энергетической эффективности в Пинежском муниципальном округе Архангельской области"</t>
  </si>
  <si>
    <t xml:space="preserve">Муниципальная программа "Капитальный ремонт, ремонт и переустройство жилых помещений в муниципальном жилищном фонде Пинежского  муниципального округа Архангельской области" </t>
  </si>
  <si>
    <t xml:space="preserve"> Муниципальная программа "Формирование современной городской среды Пинежского муниципального округа Архангельской области "</t>
  </si>
  <si>
    <t xml:space="preserve"> Муниципальная программа "Формирование современной городской среды Пинежского муниципального округа Архангельской области"</t>
  </si>
  <si>
    <t>Муниципальная программа "Охрана окружающей среды в Пинежском муниципальном округе Архангельской области"</t>
  </si>
  <si>
    <t>22</t>
  </si>
  <si>
    <t xml:space="preserve"> Муниципальная программа "Благоустройство территории Пинежского муниципального округа Архангельской области "</t>
  </si>
  <si>
    <t>8081</t>
  </si>
  <si>
    <t>Мероприятия по благоустройству территорий</t>
  </si>
  <si>
    <t>Муниципальная программа "Обеспечение качественным, доступным жильем и объектами жилищно-коммунального хозяйства населения Пинежского муниципального округа Архангельской области"</t>
  </si>
  <si>
    <t xml:space="preserve">Муниципальная программа "Развитие сферы культуры в Пинежском муниципальном округе Архангельской области" </t>
  </si>
  <si>
    <t>Муниципальная программа "Развитие сферы культуры в Пинежском муниципальном округе Архангельской области"</t>
  </si>
  <si>
    <t>Подпрограмма "Развитие сферы культуры в Пинежском муниципальном округе"</t>
  </si>
  <si>
    <t>Подпрограмма "Развитие библиотечного дела  в Пинежском муниципальном округе"</t>
  </si>
  <si>
    <t>Осуществление государственных полномочий в сфере административных правонарушений</t>
  </si>
  <si>
    <t>23</t>
  </si>
  <si>
    <t xml:space="preserve">Муниципальная программа "Развитие туризма в Пинежском муниципальном округе" </t>
  </si>
  <si>
    <t xml:space="preserve">Муниципальная программа
"Развитие туризма в  Пинежском муниципальном округе"
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</si>
  <si>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</t>
  </si>
  <si>
    <t>24</t>
  </si>
  <si>
    <t xml:space="preserve"> Муниципальная программа "Защита населения на территории Пинежского муниципального округа Архангельской области от чрезвычайных ситуаций, обеспечение пожарной безопасности и обеспечение безопасности людей на водных объектах"                      </t>
  </si>
  <si>
    <t xml:space="preserve"> Муниципальная программа "Защита населения на территории Пинежского муниципального округа  Архангельской области от чрезвычайных ситуаций, обеспечение пожарной безопасности и обеспечение безопасности людей на водных объектах"                      </t>
  </si>
  <si>
    <t xml:space="preserve">Муниципальная программа "Управление муниципальными финансами Пинежского муниципального округа Архангельской области" </t>
  </si>
  <si>
    <t>Муниципальная программа "Управление муниципальными финансами Пинежского муниципального округа Архангельской области"</t>
  </si>
  <si>
    <t>Мероприятия в сфере защиты населения и территорий Пинежского округа от чрезвычайных ситуаций, осуществляемые органами местного самоуправления</t>
  </si>
  <si>
    <t xml:space="preserve">Предоставление мер социальной поддержки отдельных категорий квалифицированных специалистов финансируемых из бюджета Пинежского муниципального округа </t>
  </si>
  <si>
    <t>Поддержка территориального общественного самоуправления в Пинежском округе</t>
  </si>
  <si>
    <t>Муниципальная программа "Развитие и поддержка институтов гражданского общества на территории Пинежского муниципального округа Архангельской области"</t>
  </si>
  <si>
    <t>S889</t>
  </si>
  <si>
    <t>Иные межбюджетные трансферты бюджетам муниципальных районов, муниципальных округов и городских округов Архангельской области на развитие инициативных проектов в рамках регионального проекта «Комфортное Поморье»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</si>
  <si>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</si>
  <si>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8025</t>
  </si>
  <si>
    <t>Муниципальная программа "Молодёжь Пинежья"</t>
  </si>
  <si>
    <t>Муниципальная программа "Обеспечение жильём молодых семей"</t>
  </si>
  <si>
    <t>Муниципальная программа "Улучшение эксплуатационного состояния автомобильных дорог общего пользования местного значения, а также организация осуществления перевозок пассажиров и багажа на социально значимых маршрутах муниципального сообщения  Пинежского муниципального округа Архангельской области"</t>
  </si>
  <si>
    <t>Муниципальная программа "Развитие физической культуры и спорта"</t>
  </si>
  <si>
    <t xml:space="preserve">Муниципальная программа
"Совершенствование муниципального управления в Администрации Пинежского муниципального округа Архангельской области"
</t>
  </si>
  <si>
    <t xml:space="preserve">Муниципальная программа "Совершенствование муниципального управления в Администрации Пинежского муниципального округа Архангельской области"
</t>
  </si>
  <si>
    <t>Муниципальная программа "Совершенствование муниципального управления в Администрации Пинежского муниципального округа Архангельской области"</t>
  </si>
  <si>
    <t>Обеспечение функционирования главы муниципального образования</t>
  </si>
  <si>
    <t>Обеспечение деятельности Собрания депутатов муниципального образования</t>
  </si>
  <si>
    <t>Председатель Собрания депутатов муниципального образования</t>
  </si>
  <si>
    <t>Собрание депутатов муниципального образования</t>
  </si>
  <si>
    <t>Резервный фонд администрации Пинежского муниципального округа Архангельской области</t>
  </si>
  <si>
    <t>Субсидии бюджетам муниципальных районов, муниципальных округов и городских округов Архангельской области на реализацию мероприятий по финансовой поддержке социально ориентированных некоммерческих организаций</t>
  </si>
  <si>
    <t>Поддержка территориального общественного самоуправления в Пинежском муниципальном округе</t>
  </si>
  <si>
    <t>336</t>
  </si>
  <si>
    <t>360</t>
  </si>
  <si>
    <t>Иные выплаты населению</t>
  </si>
  <si>
    <t>Подпрограмма "Развитие библиотечного дела в Пинежском муниципальном округе"</t>
  </si>
  <si>
    <t>Муниципальная программа "Профилактика правонарушений на территории Пинежского муниципального округа Архангельской области"</t>
  </si>
  <si>
    <t>Подпрограмма "Охрана общественного порядка на территории Пинежского муниципального округа Архангельской области"</t>
  </si>
  <si>
    <t>Подпрограмма "Профилактика безнадзорности и правонарушений несовершеннолетних на территории Пинежского муниципального округа Архангельской области"</t>
  </si>
  <si>
    <t xml:space="preserve">        Приложение № 3</t>
  </si>
  <si>
    <t xml:space="preserve">    Приложение № 4 </t>
  </si>
  <si>
    <t>Муниципальная программа "Развитие торговли в  Пинежском муниципальном округе Архангельской области"</t>
  </si>
  <si>
    <t>S840</t>
  </si>
  <si>
    <t xml:space="preserve">Субсидии бюджетам муниципальных районов, муниципальных округов и городских округов Архангельской области на проведение комплексных кадастровых работ (без федерального софинансирования)
</t>
  </si>
  <si>
    <t>Массовый спорт</t>
  </si>
  <si>
    <t xml:space="preserve">Пинежский территориальный отдел </t>
  </si>
  <si>
    <t>Э816</t>
  </si>
  <si>
    <t>от 20 декабря 2023 года № 47</t>
  </si>
  <si>
    <t xml:space="preserve">                     от 20 декабря 2023 года № 47</t>
  </si>
  <si>
    <t>от  20 декабря 2023 года № 47</t>
  </si>
  <si>
    <t xml:space="preserve">Обеспечение комплексного развития сельских территорий (строительство плоскостного спортивного сооружения в с. Карпогоры Архангельской области, кадастровый квартал 29:14:050303)
</t>
  </si>
  <si>
    <t>Муниципальная программа "Развитие торговли в Пинежском муниципальном округе Архангельской области"</t>
  </si>
  <si>
    <t>Непрограммные расходы в области национальной обороны</t>
  </si>
  <si>
    <t>L750</t>
  </si>
  <si>
    <t>7</t>
  </si>
  <si>
    <t>L467</t>
  </si>
  <si>
    <t>S656</t>
  </si>
  <si>
    <t>Э680</t>
  </si>
  <si>
    <t>Э466</t>
  </si>
  <si>
    <t>Е</t>
  </si>
  <si>
    <t>В</t>
  </si>
  <si>
    <t>5179</t>
  </si>
  <si>
    <t>8079</t>
  </si>
  <si>
    <t xml:space="preserve">Строительство здания культурно-досугового центра в пос. Пинега Архангельской области </t>
  </si>
  <si>
    <t xml:space="preserve">             Приложение № 5 </t>
  </si>
  <si>
    <t xml:space="preserve">                 к решению Собрания депутатов </t>
  </si>
  <si>
    <t xml:space="preserve">  Обеспечение комплексного развития сельских территорий (капитальный ремонт системы водоотведения в с.Карпогоры Пинежского района Архангельской области протяженностью 5047м)</t>
  </si>
  <si>
    <t>А</t>
  </si>
  <si>
    <t>5454</t>
  </si>
  <si>
    <t>S698</t>
  </si>
  <si>
    <t xml:space="preserve">  Субсидии бюджетам муниципальных районов, муниципальных округов и городских округов Архангельской области на обеспечение условий для развития кадрового потенциала муниципальных образовательных организаций в Архангельской области</t>
  </si>
  <si>
    <t>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оорганизациях (иные межбюджетные трансферты бюджетам муниципальных районов. муниципальных округов и городских округов Архангельской области)</t>
  </si>
  <si>
    <t xml:space="preserve">   Иные межбюджетные трансферты бюджетам муниципальных районов, муниципальных округов и городских округов Архангельской области на обеспечение мероприятий по организации предоставления дополнительных мер социальной поддержки семьям граждан, принимающих(принимавших) участи в специальной военной операции,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организациях, бесплатного посещения обучающимся занятий по дополнительным общеобразовательным программам, реализуемым на платной основе муниципальными образовательными организациями, а также бесплатного присмотра и ухода за детьми, посещающими муниципальные образовательные организации, реализующие программы дошкольного образования, или группы продленного дня в общеобразовательных организациях</t>
  </si>
  <si>
    <t xml:space="preserve">  Иные межбюджетные трансферты бюджетам муниципальных районов, муниципальных округов и городских округов Архангельской области на обеспечение мероприятий по организации предоставления дополнительных мер социальной поддержки семьям граждан, принимающих(принимавших) участи в специальной военной операции,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организациях, бесплатного посещения обучающимся занятий по дополнительным общеобразовательным программам, реализуемым на платной основе муниципальными образовательными организациями, а также бесплатного присмотра и ухода за детьми, посещающими муниципальные образовательные организации, реализующие программы дошкольного образования, или группы продленного дня в общеобразовательных организациях</t>
  </si>
  <si>
    <t xml:space="preserve">  Иные межбюджетные трансферты муниципальных районов. муниципальных округов и городских округов Архангельской области на организацию транспортного обслуживания на пассажирских муниципальных маршрутах водного транспорта</t>
  </si>
  <si>
    <t xml:space="preserve">  Обеспечение развития и укрепления материально-технической базы домов культуры в населенных пунктах с числом жителей до 50 тысяч человек (субсидии бюджетам муниципальных районов, муниципальных округов, городских округов, городских и сельских поселений Архангельской области)</t>
  </si>
  <si>
    <t>Создание модельных муниципальных библиотек (субсидии бюджетам муниципальных районов, муниципальных округов, городских и сельских поселений Архангельской области)</t>
  </si>
  <si>
    <t>R303</t>
  </si>
  <si>
    <t>5519</t>
  </si>
  <si>
    <t xml:space="preserve">  Государственная поддержка отрасли культуры (государственная поддержка лучших работников сельских учреждений культуры (субсидии бюджетам муниципальных районов, муниципальных округов, городских и сельских поселений Архангельской области))</t>
  </si>
  <si>
    <t>Закупка оборудования для создания «Умных» спортивных площадок</t>
  </si>
  <si>
    <t>8080</t>
  </si>
  <si>
    <t>F</t>
  </si>
  <si>
    <t>5555</t>
  </si>
  <si>
    <t>8082</t>
  </si>
  <si>
    <t>S696</t>
  </si>
  <si>
    <t>Субсидии бюджетам муниципальных районов, муниципальных округов и городских округов Архангельской области на 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</si>
  <si>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Субсидии бюджетам муниципальных районов, муниципальных округов и городских округов Архангельской области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</si>
  <si>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 xml:space="preserve"> Субсидии бюджетам муниципальных районов, муниципальных округов и городских округов Архангельской области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</si>
  <si>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Реализация мероприятий по модернизации школьных систем образования (иные межбюджетные трансферты бюджетам муниципальных районов, муниципальных округов и городских округов Архангельской области )</t>
  </si>
  <si>
    <t xml:space="preserve">Реализация муниципальных программ формирования современной городской среды (субсидии бюджетам муниципальных округов, городских округов, городских и сельских поселений Архангельской области) </t>
  </si>
  <si>
    <t xml:space="preserve">Реализация муниципальных программ формирования современной городской среды (субсидии бюджетам  муниципальных округов, городских округов, городских и сельских поселений Архангельской области) </t>
  </si>
  <si>
    <t xml:space="preserve">Уплата земельного налога </t>
  </si>
  <si>
    <t>8031</t>
  </si>
  <si>
    <t xml:space="preserve">Оплата кредиторской задолженности бюджетов поселений прошлых лет </t>
  </si>
  <si>
    <t>S836</t>
  </si>
  <si>
    <t xml:space="preserve">   Субсидии бюджетам муниципальных районов, муниципальных округов, городских округов, городских и сельских поселений Архангельской области на поддержку творческих проектов и любительских творческих коллективов в сфере культуры и искусства</t>
  </si>
  <si>
    <t>5171</t>
  </si>
  <si>
    <t xml:space="preserve"> Сельское хозяйство и рыболовство</t>
  </si>
  <si>
    <t>Подготовка проектов межевания земельных участков и проведение кадастровых работ (субсидии бюджетам муниципальных районов, муниципальных округов и городских округов, городских и сельских поселений Архангельской области)</t>
  </si>
  <si>
    <t>L599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</si>
  <si>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(иные межбюджетные трансферты бюджетам муниципальных районов, муниципальных округов и городских округов Архангельской области (создание новых мест в образовательных организациях различных типов для реализации дополнительных общеразвивающих программ всех направленностей))</t>
  </si>
  <si>
    <t>Непрограммные расходы в области образования</t>
  </si>
  <si>
    <t>69</t>
  </si>
  <si>
    <t>Резервный фонд Правительства Архангельской области</t>
  </si>
  <si>
    <t>7140</t>
  </si>
  <si>
    <t>S753</t>
  </si>
  <si>
    <t>Э685</t>
  </si>
  <si>
    <t>00000</t>
  </si>
  <si>
    <t xml:space="preserve">    Закупка и монтаж оборудования для создания "умных" спортивных площадок (субсидии бюджетам муниципальных районов, муниципальных округов и городских округов Архангельской области на создание "умных" спортивных площадок в части подготовки основания, устройства инженерных сетей, монтажа оборудования и благоустройства территории (сверх соглашения с федеральным органом государственной власти))</t>
  </si>
  <si>
    <t xml:space="preserve"> Иные межбюджетные трансферты бюджетам муниципальных районов, муниципальных округов и городских округов Архангельской области на реализацию мероприятий по антитеррористической защищенности муниципальных образовательных организаций в Архангельской области (вне рамок регионального проекта "Модернизация школьных систем образования в Архангельской области")</t>
  </si>
  <si>
    <t>S691</t>
  </si>
  <si>
    <t xml:space="preserve">  Субсидии бюджетам муниципальных районов, муниципальных округов, городских округов и городских поселений Архангельской области на организацию мероприятий по содействию трудоустройству несовершеннолетних граждан на территории Архангельской области</t>
  </si>
  <si>
    <t xml:space="preserve"> Субсидии бюджетам муниципальных районов, муниципальных округов, городских округов и городских поселений Архангельской области на организацию транспортного обслуживания населения на пассажирских муниципальных маршрутах автомобильного транспорта</t>
  </si>
  <si>
    <t>700</t>
  </si>
  <si>
    <t>730</t>
  </si>
  <si>
    <t>8083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</si>
  <si>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</si>
  <si>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</si>
  <si>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Обслуживание муниципального долга</t>
  </si>
  <si>
    <t>Обслуживание государственного (муниципального) долга</t>
  </si>
  <si>
    <t xml:space="preserve">Приложение № 5 </t>
  </si>
  <si>
    <t xml:space="preserve">                     от 31 мая 2024 года № 104</t>
  </si>
  <si>
    <t>от  31 мая 2024 года № 104</t>
  </si>
  <si>
    <t>от 31 мая 2024 года №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</si>
</sst>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#,##0.0"/>
    <numFmt numFmtId="167" formatCode="_-* #,##0.0\ _₽_-;\-* #,##0.0\ _₽_-;_-* &quot;-&quot;?\ _₽_-;_-@_-"/>
    <numFmt numFmtId="168" formatCode="_-* #,##0.00_р_._-;\-* #,##0.00_р_._-;_-* &quot;-&quot;?_р_._-;_-@_-"/>
  </numFmts>
  <fonts count="50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7"/>
      <name val="Arial"/>
      <family val="2"/>
      <charset val="204"/>
    </font>
    <font>
      <sz val="7"/>
      <name val="Arial Cyr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b/>
      <sz val="14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i/>
      <sz val="14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76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0"/>
    <xf numFmtId="0" fontId="16" fillId="18" borderId="1" applyNumberFormat="0" applyAlignment="0" applyProtection="0"/>
    <xf numFmtId="0" fontId="17" fillId="19" borderId="2" applyNumberFormat="0" applyAlignment="0" applyProtection="0"/>
    <xf numFmtId="0" fontId="15" fillId="0" borderId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2" borderId="0" applyNumberFormat="0" applyBorder="0" applyAlignment="0" applyProtection="0"/>
    <xf numFmtId="0" fontId="15" fillId="4" borderId="7" applyNumberFormat="0" applyFont="0" applyAlignment="0" applyProtection="0"/>
    <xf numFmtId="0" fontId="26" fillId="18" borderId="8" applyNumberFormat="0" applyAlignment="0" applyProtection="0"/>
    <xf numFmtId="0" fontId="27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5" fillId="0" borderId="0"/>
    <xf numFmtId="0" fontId="30" fillId="0" borderId="0" applyNumberFormat="0" applyFill="0" applyBorder="0" applyAlignment="0" applyProtection="0"/>
    <xf numFmtId="0" fontId="27" fillId="20" borderId="0"/>
    <xf numFmtId="0" fontId="27" fillId="0" borderId="0">
      <alignment wrapText="1"/>
    </xf>
    <xf numFmtId="0" fontId="27" fillId="0" borderId="0"/>
    <xf numFmtId="0" fontId="31" fillId="0" borderId="0">
      <alignment horizontal="center" wrapText="1"/>
    </xf>
    <xf numFmtId="0" fontId="31" fillId="0" borderId="0">
      <alignment horizontal="center"/>
    </xf>
    <xf numFmtId="0" fontId="27" fillId="0" borderId="0">
      <alignment horizontal="right"/>
    </xf>
    <xf numFmtId="0" fontId="27" fillId="20" borderId="10"/>
    <xf numFmtId="0" fontId="27" fillId="0" borderId="11">
      <alignment horizontal="center" vertical="center" wrapText="1"/>
    </xf>
    <xf numFmtId="0" fontId="27" fillId="20" borderId="12"/>
    <xf numFmtId="49" fontId="27" fillId="0" borderId="11">
      <alignment horizontal="left" vertical="top" wrapText="1" indent="2"/>
    </xf>
    <xf numFmtId="49" fontId="27" fillId="0" borderId="11">
      <alignment horizontal="center" vertical="top" shrinkToFit="1"/>
    </xf>
    <xf numFmtId="4" fontId="27" fillId="0" borderId="11">
      <alignment horizontal="right" vertical="top" shrinkToFit="1"/>
    </xf>
    <xf numFmtId="10" fontId="27" fillId="0" borderId="11">
      <alignment horizontal="right" vertical="top" shrinkToFit="1"/>
    </xf>
    <xf numFmtId="0" fontId="27" fillId="20" borderId="12">
      <alignment shrinkToFit="1"/>
    </xf>
    <xf numFmtId="0" fontId="32" fillId="0" borderId="11">
      <alignment horizontal="left"/>
    </xf>
    <xf numFmtId="4" fontId="32" fillId="4" borderId="11">
      <alignment horizontal="right" vertical="top" shrinkToFit="1"/>
    </xf>
    <xf numFmtId="10" fontId="32" fillId="4" borderId="11">
      <alignment horizontal="right" vertical="top" shrinkToFit="1"/>
    </xf>
    <xf numFmtId="0" fontId="27" fillId="20" borderId="13"/>
    <xf numFmtId="0" fontId="27" fillId="0" borderId="0">
      <alignment horizontal="left" wrapText="1"/>
    </xf>
    <xf numFmtId="0" fontId="32" fillId="0" borderId="11">
      <alignment vertical="top" wrapText="1"/>
    </xf>
    <xf numFmtId="4" fontId="32" fillId="9" borderId="11">
      <alignment horizontal="right" vertical="top" shrinkToFit="1"/>
    </xf>
    <xf numFmtId="10" fontId="32" fillId="9" borderId="11">
      <alignment horizontal="right" vertical="top" shrinkToFit="1"/>
    </xf>
    <xf numFmtId="0" fontId="27" fillId="20" borderId="12">
      <alignment horizontal="center"/>
    </xf>
    <xf numFmtId="0" fontId="27" fillId="20" borderId="12">
      <alignment horizontal="left"/>
    </xf>
    <xf numFmtId="0" fontId="27" fillId="20" borderId="13">
      <alignment horizontal="center"/>
    </xf>
    <xf numFmtId="0" fontId="27" fillId="20" borderId="13">
      <alignment horizontal="left"/>
    </xf>
    <xf numFmtId="0" fontId="4" fillId="0" borderId="0"/>
    <xf numFmtId="0" fontId="2" fillId="0" borderId="0"/>
    <xf numFmtId="0" fontId="2" fillId="21" borderId="0"/>
  </cellStyleXfs>
  <cellXfs count="60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14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22" xfId="73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/>
    <xf numFmtId="0" fontId="5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22" xfId="0" applyFont="1" applyBorder="1"/>
    <xf numFmtId="0" fontId="1" fillId="0" borderId="24" xfId="0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2" fillId="23" borderId="0" xfId="0" applyFont="1" applyFill="1"/>
    <xf numFmtId="0" fontId="3" fillId="0" borderId="27" xfId="73" applyFont="1" applyFill="1" applyBorder="1" applyAlignment="1">
      <alignment horizontal="left" vertical="center" wrapText="1"/>
    </xf>
    <xf numFmtId="0" fontId="1" fillId="0" borderId="27" xfId="73" applyFont="1" applyFill="1" applyBorder="1" applyAlignment="1">
      <alignment horizontal="left" vertical="center" wrapText="1"/>
    </xf>
    <xf numFmtId="0" fontId="3" fillId="23" borderId="0" xfId="0" applyFont="1" applyFill="1"/>
    <xf numFmtId="0" fontId="3" fillId="23" borderId="0" xfId="0" applyFont="1" applyFill="1" applyAlignment="1">
      <alignment horizontal="center" vertical="center"/>
    </xf>
    <xf numFmtId="0" fontId="8" fillId="23" borderId="0" xfId="0" applyFont="1" applyFill="1" applyAlignment="1">
      <alignment horizontal="center" vertical="center" wrapText="1"/>
    </xf>
    <xf numFmtId="168" fontId="7" fillId="0" borderId="15" xfId="0" applyNumberFormat="1" applyFont="1" applyFill="1" applyBorder="1" applyAlignment="1">
      <alignment horizontal="center" vertical="center"/>
    </xf>
    <xf numFmtId="168" fontId="3" fillId="0" borderId="23" xfId="0" applyNumberFormat="1" applyFont="1" applyFill="1" applyBorder="1" applyAlignment="1">
      <alignment horizontal="center" vertical="center"/>
    </xf>
    <xf numFmtId="168" fontId="7" fillId="0" borderId="23" xfId="0" applyNumberFormat="1" applyFont="1" applyFill="1" applyBorder="1" applyAlignment="1">
      <alignment horizontal="center" vertical="center"/>
    </xf>
    <xf numFmtId="168" fontId="2" fillId="0" borderId="23" xfId="0" applyNumberFormat="1" applyFont="1" applyFill="1" applyBorder="1" applyAlignment="1">
      <alignment horizontal="center" vertical="center"/>
    </xf>
    <xf numFmtId="0" fontId="33" fillId="23" borderId="0" xfId="0" applyFont="1" applyFill="1" applyAlignment="1">
      <alignment horizontal="center" vertical="center"/>
    </xf>
    <xf numFmtId="0" fontId="33" fillId="23" borderId="0" xfId="0" applyFont="1" applyFill="1"/>
    <xf numFmtId="0" fontId="33" fillId="23" borderId="0" xfId="0" applyFont="1" applyFill="1" applyAlignment="1"/>
    <xf numFmtId="4" fontId="3" fillId="0" borderId="28" xfId="0" applyNumberFormat="1" applyFont="1" applyFill="1" applyBorder="1" applyAlignment="1">
      <alignment vertical="center"/>
    </xf>
    <xf numFmtId="0" fontId="3" fillId="23" borderId="0" xfId="0" applyFont="1" applyFill="1" applyBorder="1"/>
    <xf numFmtId="0" fontId="3" fillId="23" borderId="0" xfId="0" applyFont="1" applyFill="1" applyBorder="1" applyAlignment="1">
      <alignment horizontal="center" vertical="distributed"/>
    </xf>
    <xf numFmtId="0" fontId="3" fillId="23" borderId="0" xfId="0" applyFont="1" applyFill="1" applyBorder="1" applyAlignment="1">
      <alignment horizontal="center"/>
    </xf>
    <xf numFmtId="0" fontId="3" fillId="0" borderId="0" xfId="0" applyFont="1"/>
    <xf numFmtId="0" fontId="34" fillId="23" borderId="0" xfId="0" applyFont="1" applyFill="1" applyBorder="1" applyAlignment="1"/>
    <xf numFmtId="0" fontId="35" fillId="23" borderId="0" xfId="0" applyFont="1" applyFill="1" applyBorder="1" applyAlignment="1">
      <alignment horizontal="center"/>
    </xf>
    <xf numFmtId="0" fontId="3" fillId="23" borderId="0" xfId="0" applyFont="1" applyFill="1" applyAlignment="1">
      <alignment horizontal="center"/>
    </xf>
    <xf numFmtId="0" fontId="37" fillId="22" borderId="0" xfId="0" applyFont="1" applyFill="1" applyAlignment="1">
      <alignment horizontal="center"/>
    </xf>
    <xf numFmtId="0" fontId="1" fillId="22" borderId="0" xfId="0" applyFont="1" applyFill="1"/>
    <xf numFmtId="4" fontId="1" fillId="0" borderId="27" xfId="0" applyNumberFormat="1" applyFont="1" applyFill="1" applyBorder="1" applyAlignment="1">
      <alignment horizontal="right" vertical="distributed"/>
    </xf>
    <xf numFmtId="0" fontId="1" fillId="0" borderId="0" xfId="0" applyFont="1" applyFill="1"/>
    <xf numFmtId="49" fontId="5" fillId="0" borderId="28" xfId="0" applyNumberFormat="1" applyFont="1" applyFill="1" applyBorder="1" applyAlignment="1">
      <alignment horizontal="center" vertical="distributed"/>
    </xf>
    <xf numFmtId="49" fontId="5" fillId="0" borderId="29" xfId="0" applyNumberFormat="1" applyFont="1" applyFill="1" applyBorder="1" applyAlignment="1">
      <alignment horizontal="center" vertical="distributed"/>
    </xf>
    <xf numFmtId="49" fontId="5" fillId="0" borderId="0" xfId="0" applyNumberFormat="1" applyFont="1" applyFill="1" applyBorder="1" applyAlignment="1">
      <alignment horizontal="center" vertical="distributed"/>
    </xf>
    <xf numFmtId="49" fontId="1" fillId="0" borderId="0" xfId="0" applyNumberFormat="1" applyFont="1" applyFill="1" applyBorder="1" applyAlignment="1">
      <alignment horizontal="center" vertical="distributed"/>
    </xf>
    <xf numFmtId="49" fontId="1" fillId="0" borderId="30" xfId="0" applyNumberFormat="1" applyFont="1" applyFill="1" applyBorder="1" applyAlignment="1">
      <alignment horizontal="center" vertical="distributed"/>
    </xf>
    <xf numFmtId="4" fontId="1" fillId="0" borderId="0" xfId="0" applyNumberFormat="1" applyFont="1" applyFill="1" applyBorder="1" applyAlignment="1">
      <alignment horizontal="right" vertical="distributed"/>
    </xf>
    <xf numFmtId="4" fontId="3" fillId="0" borderId="0" xfId="0" applyNumberFormat="1" applyFont="1" applyFill="1" applyBorder="1" applyAlignment="1">
      <alignment horizontal="right" vertical="distributed"/>
    </xf>
    <xf numFmtId="4" fontId="3" fillId="0" borderId="27" xfId="0" applyNumberFormat="1" applyFont="1" applyFill="1" applyBorder="1" applyAlignment="1">
      <alignment horizontal="right" vertical="distributed"/>
    </xf>
    <xf numFmtId="49" fontId="3" fillId="0" borderId="0" xfId="73" applyNumberFormat="1" applyFont="1" applyFill="1" applyBorder="1" applyAlignment="1">
      <alignment horizontal="center" vertical="distributed"/>
    </xf>
    <xf numFmtId="49" fontId="3" fillId="0" borderId="30" xfId="73" applyNumberFormat="1" applyFont="1" applyFill="1" applyBorder="1" applyAlignment="1">
      <alignment horizontal="center" vertical="distributed"/>
    </xf>
    <xf numFmtId="4" fontId="3" fillId="0" borderId="0" xfId="73" applyNumberFormat="1" applyFont="1" applyFill="1" applyBorder="1" applyAlignment="1">
      <alignment horizontal="right" vertical="distributed"/>
    </xf>
    <xf numFmtId="4" fontId="3" fillId="0" borderId="27" xfId="73" applyNumberFormat="1" applyFont="1" applyFill="1" applyBorder="1" applyAlignment="1">
      <alignment horizontal="right" vertical="distributed"/>
    </xf>
    <xf numFmtId="49" fontId="2" fillId="0" borderId="0" xfId="73" applyNumberFormat="1" applyFont="1" applyFill="1" applyBorder="1" applyAlignment="1">
      <alignment horizontal="center" vertical="distributed"/>
    </xf>
    <xf numFmtId="49" fontId="5" fillId="0" borderId="0" xfId="73" applyNumberFormat="1" applyFont="1" applyFill="1" applyBorder="1" applyAlignment="1">
      <alignment horizontal="center" vertical="distributed"/>
    </xf>
    <xf numFmtId="49" fontId="3" fillId="0" borderId="0" xfId="73" applyNumberFormat="1" applyFont="1" applyFill="1" applyBorder="1" applyAlignment="1">
      <alignment horizontal="center" vertical="center"/>
    </xf>
    <xf numFmtId="49" fontId="2" fillId="0" borderId="0" xfId="73" applyNumberFormat="1" applyFont="1" applyFill="1" applyBorder="1" applyAlignment="1">
      <alignment horizontal="center" vertical="center"/>
    </xf>
    <xf numFmtId="49" fontId="5" fillId="0" borderId="0" xfId="73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49" fontId="5" fillId="0" borderId="30" xfId="0" applyNumberFormat="1" applyFont="1" applyFill="1" applyBorder="1" applyAlignment="1">
      <alignment horizontal="center" vertical="distributed"/>
    </xf>
    <xf numFmtId="49" fontId="3" fillId="0" borderId="28" xfId="0" applyNumberFormat="1" applyFont="1" applyFill="1" applyBorder="1" applyAlignment="1">
      <alignment horizontal="center" vertical="distributed"/>
    </xf>
    <xf numFmtId="49" fontId="3" fillId="0" borderId="29" xfId="0" applyNumberFormat="1" applyFont="1" applyFill="1" applyBorder="1" applyAlignment="1">
      <alignment horizontal="center" vertical="distributed"/>
    </xf>
    <xf numFmtId="49" fontId="3" fillId="0" borderId="0" xfId="0" applyNumberFormat="1" applyFont="1" applyFill="1" applyBorder="1" applyAlignment="1">
      <alignment horizontal="center" vertical="distributed"/>
    </xf>
    <xf numFmtId="49" fontId="3" fillId="0" borderId="30" xfId="0" applyNumberFormat="1" applyFont="1" applyFill="1" applyBorder="1" applyAlignment="1">
      <alignment horizontal="center" vertical="distributed"/>
    </xf>
    <xf numFmtId="49" fontId="3" fillId="0" borderId="0" xfId="73" applyNumberFormat="1" applyFont="1" applyFill="1" applyBorder="1" applyAlignment="1">
      <alignment horizontal="center" vertical="distributed" wrapText="1"/>
    </xf>
    <xf numFmtId="49" fontId="38" fillId="0" borderId="0" xfId="0" applyNumberFormat="1" applyFont="1" applyFill="1" applyBorder="1" applyAlignment="1">
      <alignment horizontal="center" vertical="distributed"/>
    </xf>
    <xf numFmtId="49" fontId="5" fillId="0" borderId="30" xfId="73" applyNumberFormat="1" applyFont="1" applyFill="1" applyBorder="1" applyAlignment="1">
      <alignment horizontal="center" vertical="distributed"/>
    </xf>
    <xf numFmtId="49" fontId="3" fillId="0" borderId="31" xfId="0" applyNumberFormat="1" applyFont="1" applyFill="1" applyBorder="1" applyAlignment="1">
      <alignment horizontal="center" vertical="distributed"/>
    </xf>
    <xf numFmtId="49" fontId="3" fillId="0" borderId="32" xfId="0" applyNumberFormat="1" applyFont="1" applyFill="1" applyBorder="1" applyAlignment="1">
      <alignment horizontal="center" vertical="distributed"/>
    </xf>
    <xf numFmtId="49" fontId="3" fillId="0" borderId="33" xfId="0" applyNumberFormat="1" applyFont="1" applyFill="1" applyBorder="1" applyAlignment="1">
      <alignment horizontal="center" vertical="distributed"/>
    </xf>
    <xf numFmtId="49" fontId="38" fillId="0" borderId="33" xfId="0" applyNumberFormat="1" applyFont="1" applyFill="1" applyBorder="1" applyAlignment="1">
      <alignment horizontal="center" vertical="distributed"/>
    </xf>
    <xf numFmtId="49" fontId="3" fillId="0" borderId="33" xfId="73" applyNumberFormat="1" applyFont="1" applyFill="1" applyBorder="1" applyAlignment="1">
      <alignment horizontal="center" vertical="distributed"/>
    </xf>
    <xf numFmtId="49" fontId="5" fillId="0" borderId="33" xfId="73" applyNumberFormat="1" applyFont="1" applyFill="1" applyBorder="1" applyAlignment="1">
      <alignment horizontal="center" vertical="distributed"/>
    </xf>
    <xf numFmtId="49" fontId="3" fillId="0" borderId="34" xfId="73" applyNumberFormat="1" applyFont="1" applyFill="1" applyBorder="1" applyAlignment="1">
      <alignment horizontal="center" vertical="distributed"/>
    </xf>
    <xf numFmtId="4" fontId="3" fillId="0" borderId="33" xfId="73" applyNumberFormat="1" applyFont="1" applyFill="1" applyBorder="1" applyAlignment="1">
      <alignment horizontal="right" vertical="distributed"/>
    </xf>
    <xf numFmtId="4" fontId="3" fillId="0" borderId="35" xfId="73" applyNumberFormat="1" applyFont="1" applyFill="1" applyBorder="1" applyAlignment="1">
      <alignment horizontal="right" vertical="distributed"/>
    </xf>
    <xf numFmtId="0" fontId="1" fillId="0" borderId="36" xfId="0" applyFont="1" applyFill="1" applyBorder="1" applyAlignment="1">
      <alignment horizontal="center" vertical="distributed"/>
    </xf>
    <xf numFmtId="0" fontId="1" fillId="0" borderId="37" xfId="0" applyFont="1" applyFill="1" applyBorder="1" applyAlignment="1">
      <alignment horizontal="center" vertical="distributed"/>
    </xf>
    <xf numFmtId="0" fontId="1" fillId="0" borderId="38" xfId="0" applyFont="1" applyFill="1" applyBorder="1" applyAlignment="1">
      <alignment horizontal="center" vertical="distributed"/>
    </xf>
    <xf numFmtId="0" fontId="1" fillId="0" borderId="39" xfId="0" applyFont="1" applyFill="1" applyBorder="1" applyAlignment="1">
      <alignment horizontal="center" vertical="distributed"/>
    </xf>
    <xf numFmtId="49" fontId="3" fillId="0" borderId="39" xfId="73" applyNumberFormat="1" applyFont="1" applyFill="1" applyBorder="1" applyAlignment="1">
      <alignment horizontal="center" vertical="distributed"/>
    </xf>
    <xf numFmtId="4" fontId="6" fillId="0" borderId="0" xfId="0" applyNumberFormat="1" applyFont="1" applyFill="1" applyBorder="1" applyAlignment="1">
      <alignment horizontal="right" vertical="distributed"/>
    </xf>
    <xf numFmtId="4" fontId="6" fillId="0" borderId="27" xfId="0" applyNumberFormat="1" applyFont="1" applyFill="1" applyBorder="1" applyAlignment="1">
      <alignment horizontal="right" vertical="distributed"/>
    </xf>
    <xf numFmtId="0" fontId="1" fillId="0" borderId="0" xfId="0" applyFont="1"/>
    <xf numFmtId="4" fontId="5" fillId="0" borderId="0" xfId="0" applyNumberFormat="1" applyFont="1" applyFill="1" applyBorder="1" applyAlignment="1">
      <alignment horizontal="right" vertical="distributed"/>
    </xf>
    <xf numFmtId="4" fontId="5" fillId="0" borderId="27" xfId="0" applyNumberFormat="1" applyFont="1" applyFill="1" applyBorder="1" applyAlignment="1">
      <alignment horizontal="right" vertical="distributed"/>
    </xf>
    <xf numFmtId="49" fontId="3" fillId="0" borderId="28" xfId="73" applyNumberFormat="1" applyFont="1" applyFill="1" applyBorder="1" applyAlignment="1">
      <alignment horizontal="center" vertical="distributed"/>
    </xf>
    <xf numFmtId="49" fontId="3" fillId="0" borderId="28" xfId="73" applyNumberFormat="1" applyFont="1" applyFill="1" applyBorder="1" applyAlignment="1">
      <alignment horizontal="center" vertical="distributed" wrapText="1"/>
    </xf>
    <xf numFmtId="49" fontId="2" fillId="0" borderId="28" xfId="73" applyNumberFormat="1" applyFont="1" applyFill="1" applyBorder="1" applyAlignment="1">
      <alignment horizontal="center" vertical="distributed"/>
    </xf>
    <xf numFmtId="49" fontId="2" fillId="0" borderId="31" xfId="73" applyNumberFormat="1" applyFont="1" applyFill="1" applyBorder="1" applyAlignment="1">
      <alignment horizontal="center" vertical="distributed"/>
    </xf>
    <xf numFmtId="49" fontId="2" fillId="0" borderId="33" xfId="73" applyNumberFormat="1" applyFont="1" applyFill="1" applyBorder="1" applyAlignment="1">
      <alignment horizontal="center" vertical="distributed"/>
    </xf>
    <xf numFmtId="0" fontId="1" fillId="0" borderId="29" xfId="0" applyFont="1" applyFill="1" applyBorder="1" applyAlignment="1">
      <alignment horizontal="center" vertical="distributed"/>
    </xf>
    <xf numFmtId="0" fontId="1" fillId="0" borderId="28" xfId="0" applyFont="1" applyFill="1" applyBorder="1" applyAlignment="1">
      <alignment horizontal="center" vertical="distributed"/>
    </xf>
    <xf numFmtId="49" fontId="38" fillId="0" borderId="29" xfId="0" applyNumberFormat="1" applyFont="1" applyFill="1" applyBorder="1" applyAlignment="1">
      <alignment horizontal="center" vertical="distributed"/>
    </xf>
    <xf numFmtId="49" fontId="38" fillId="0" borderId="28" xfId="0" applyNumberFormat="1" applyFont="1" applyFill="1" applyBorder="1" applyAlignment="1">
      <alignment horizontal="center" vertical="distributed"/>
    </xf>
    <xf numFmtId="49" fontId="38" fillId="0" borderId="0" xfId="73" applyNumberFormat="1" applyFont="1" applyFill="1" applyBorder="1" applyAlignment="1">
      <alignment horizontal="center" vertical="distributed" wrapText="1"/>
    </xf>
    <xf numFmtId="49" fontId="38" fillId="0" borderId="0" xfId="73" applyNumberFormat="1" applyFont="1" applyFill="1" applyBorder="1" applyAlignment="1">
      <alignment horizontal="center" vertical="distributed"/>
    </xf>
    <xf numFmtId="49" fontId="38" fillId="0" borderId="30" xfId="73" applyNumberFormat="1" applyFont="1" applyFill="1" applyBorder="1" applyAlignment="1">
      <alignment horizontal="center" vertical="distributed"/>
    </xf>
    <xf numFmtId="4" fontId="38" fillId="0" borderId="0" xfId="73" applyNumberFormat="1" applyFont="1" applyFill="1" applyBorder="1" applyAlignment="1">
      <alignment horizontal="right" vertical="distributed"/>
    </xf>
    <xf numFmtId="4" fontId="38" fillId="0" borderId="27" xfId="73" applyNumberFormat="1" applyFont="1" applyFill="1" applyBorder="1" applyAlignment="1">
      <alignment horizontal="right" vertical="distributed"/>
    </xf>
    <xf numFmtId="49" fontId="3" fillId="0" borderId="28" xfId="73" applyNumberFormat="1" applyFont="1" applyFill="1" applyBorder="1" applyAlignment="1">
      <alignment horizontal="center" vertical="center"/>
    </xf>
    <xf numFmtId="4" fontId="3" fillId="0" borderId="0" xfId="73" applyNumberFormat="1" applyFont="1" applyFill="1" applyBorder="1" applyAlignment="1">
      <alignment vertical="center"/>
    </xf>
    <xf numFmtId="4" fontId="3" fillId="0" borderId="27" xfId="73" applyNumberFormat="1" applyFont="1" applyFill="1" applyBorder="1" applyAlignment="1">
      <alignment vertical="center"/>
    </xf>
    <xf numFmtId="4" fontId="3" fillId="23" borderId="0" xfId="73" applyNumberFormat="1" applyFont="1" applyFill="1" applyBorder="1" applyAlignment="1">
      <alignment horizontal="right" vertical="distributed"/>
    </xf>
    <xf numFmtId="4" fontId="3" fillId="23" borderId="27" xfId="73" applyNumberFormat="1" applyFont="1" applyFill="1" applyBorder="1" applyAlignment="1">
      <alignment horizontal="right" vertical="distributed"/>
    </xf>
    <xf numFmtId="4" fontId="3" fillId="23" borderId="0" xfId="73" applyNumberFormat="1" applyFont="1" applyFill="1" applyBorder="1" applyAlignment="1">
      <alignment vertical="center"/>
    </xf>
    <xf numFmtId="4" fontId="3" fillId="23" borderId="27" xfId="73" applyNumberFormat="1" applyFont="1" applyFill="1" applyBorder="1" applyAlignment="1">
      <alignment vertical="center"/>
    </xf>
    <xf numFmtId="49" fontId="3" fillId="23" borderId="0" xfId="73" applyNumberFormat="1" applyFont="1" applyFill="1" applyBorder="1" applyAlignment="1">
      <alignment horizontal="center" vertical="distributed"/>
    </xf>
    <xf numFmtId="0" fontId="3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distributed"/>
    </xf>
    <xf numFmtId="49" fontId="5" fillId="0" borderId="31" xfId="0" applyNumberFormat="1" applyFont="1" applyFill="1" applyBorder="1" applyAlignment="1">
      <alignment horizontal="center" vertical="distributed"/>
    </xf>
    <xf numFmtId="49" fontId="3" fillId="0" borderId="31" xfId="73" applyNumberFormat="1" applyFont="1" applyFill="1" applyBorder="1" applyAlignment="1">
      <alignment horizontal="center" vertical="distributed"/>
    </xf>
    <xf numFmtId="49" fontId="6" fillId="0" borderId="29" xfId="0" applyNumberFormat="1" applyFont="1" applyFill="1" applyBorder="1" applyAlignment="1">
      <alignment horizontal="center" vertical="distributed"/>
    </xf>
    <xf numFmtId="49" fontId="6" fillId="0" borderId="28" xfId="0" applyNumberFormat="1" applyFont="1" applyFill="1" applyBorder="1" applyAlignment="1">
      <alignment horizontal="center" vertical="distributed"/>
    </xf>
    <xf numFmtId="49" fontId="6" fillId="0" borderId="0" xfId="0" applyNumberFormat="1" applyFont="1" applyFill="1" applyBorder="1" applyAlignment="1">
      <alignment horizontal="center" vertical="distributed"/>
    </xf>
    <xf numFmtId="49" fontId="6" fillId="0" borderId="30" xfId="0" applyNumberFormat="1" applyFont="1" applyFill="1" applyBorder="1" applyAlignment="1">
      <alignment horizontal="center" vertical="distributed"/>
    </xf>
    <xf numFmtId="49" fontId="5" fillId="0" borderId="29" xfId="0" applyNumberFormat="1" applyFont="1" applyFill="1" applyBorder="1" applyAlignment="1" applyProtection="1">
      <alignment horizontal="center" vertical="distributed"/>
      <protection hidden="1"/>
    </xf>
    <xf numFmtId="49" fontId="6" fillId="0" borderId="36" xfId="0" applyNumberFormat="1" applyFont="1" applyFill="1" applyBorder="1" applyAlignment="1">
      <alignment horizontal="center" vertical="distributed"/>
    </xf>
    <xf numFmtId="49" fontId="6" fillId="0" borderId="39" xfId="0" applyNumberFormat="1" applyFont="1" applyFill="1" applyBorder="1" applyAlignment="1">
      <alignment horizontal="center" vertical="distributed"/>
    </xf>
    <xf numFmtId="49" fontId="6" fillId="0" borderId="37" xfId="0" applyNumberFormat="1" applyFont="1" applyFill="1" applyBorder="1" applyAlignment="1">
      <alignment horizontal="center" vertical="distributed"/>
    </xf>
    <xf numFmtId="49" fontId="5" fillId="0" borderId="29" xfId="0" applyNumberFormat="1" applyFont="1" applyFill="1" applyBorder="1" applyAlignment="1" applyProtection="1">
      <alignment horizontal="center"/>
      <protection hidden="1"/>
    </xf>
    <xf numFmtId="0" fontId="3" fillId="0" borderId="0" xfId="73" applyFont="1" applyFill="1" applyBorder="1" applyAlignment="1">
      <alignment horizontal="center" vertical="distributed"/>
    </xf>
    <xf numFmtId="49" fontId="6" fillId="0" borderId="38" xfId="0" applyNumberFormat="1" applyFont="1" applyFill="1" applyBorder="1" applyAlignment="1">
      <alignment horizontal="center" vertical="distributed"/>
    </xf>
    <xf numFmtId="4" fontId="2" fillId="0" borderId="0" xfId="0" applyNumberFormat="1" applyFont="1" applyFill="1" applyBorder="1" applyAlignment="1">
      <alignment horizontal="right" vertical="distributed"/>
    </xf>
    <xf numFmtId="4" fontId="2" fillId="0" borderId="27" xfId="0" applyNumberFormat="1" applyFont="1" applyFill="1" applyBorder="1" applyAlignment="1">
      <alignment horizontal="right" vertical="distributed"/>
    </xf>
    <xf numFmtId="49" fontId="5" fillId="0" borderId="0" xfId="0" applyNumberFormat="1" applyFont="1" applyFill="1" applyBorder="1" applyAlignment="1">
      <alignment vertical="distributed"/>
    </xf>
    <xf numFmtId="49" fontId="3" fillId="0" borderId="33" xfId="73" applyNumberFormat="1" applyFont="1" applyFill="1" applyBorder="1" applyAlignment="1">
      <alignment horizontal="center" vertical="center"/>
    </xf>
    <xf numFmtId="49" fontId="5" fillId="0" borderId="33" xfId="73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distributed"/>
    </xf>
    <xf numFmtId="4" fontId="7" fillId="0" borderId="27" xfId="0" applyNumberFormat="1" applyFont="1" applyFill="1" applyBorder="1" applyAlignment="1">
      <alignment horizontal="right" vertical="distributed"/>
    </xf>
    <xf numFmtId="49" fontId="3" fillId="0" borderId="0" xfId="73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right" vertical="distributed"/>
    </xf>
    <xf numFmtId="4" fontId="2" fillId="0" borderId="35" xfId="0" applyNumberFormat="1" applyFont="1" applyFill="1" applyBorder="1" applyAlignment="1">
      <alignment horizontal="right" vertical="distributed"/>
    </xf>
    <xf numFmtId="49" fontId="3" fillId="23" borderId="0" xfId="0" applyNumberFormat="1" applyFont="1" applyFill="1" applyBorder="1" applyAlignment="1">
      <alignment horizontal="center" vertical="distributed"/>
    </xf>
    <xf numFmtId="0" fontId="1" fillId="0" borderId="0" xfId="0" applyFont="1" applyBorder="1"/>
    <xf numFmtId="0" fontId="40" fillId="0" borderId="0" xfId="0" applyFont="1" applyFill="1" applyBorder="1"/>
    <xf numFmtId="0" fontId="41" fillId="0" borderId="0" xfId="0" applyFont="1" applyFill="1" applyBorder="1" applyAlignment="1">
      <alignment horizontal="center" vertical="distributed"/>
    </xf>
    <xf numFmtId="0" fontId="3" fillId="0" borderId="0" xfId="0" applyFont="1" applyBorder="1"/>
    <xf numFmtId="0" fontId="42" fillId="0" borderId="0" xfId="0" applyFont="1" applyFill="1" applyBorder="1" applyAlignment="1">
      <alignment horizontal="center" vertical="distributed"/>
    </xf>
    <xf numFmtId="2" fontId="41" fillId="0" borderId="0" xfId="0" applyNumberFormat="1" applyFont="1" applyFill="1" applyBorder="1" applyAlignment="1">
      <alignment horizontal="center" vertical="distributed"/>
    </xf>
    <xf numFmtId="4" fontId="3" fillId="0" borderId="0" xfId="0" applyNumberFormat="1" applyFont="1" applyBorder="1"/>
    <xf numFmtId="0" fontId="3" fillId="0" borderId="0" xfId="0" applyFont="1" applyFill="1" applyBorder="1" applyAlignment="1">
      <alignment horizontal="center" vertical="distributed"/>
    </xf>
    <xf numFmtId="0" fontId="3" fillId="0" borderId="0" xfId="0" applyFont="1" applyFill="1" applyBorder="1"/>
    <xf numFmtId="0" fontId="43" fillId="0" borderId="0" xfId="0" applyFont="1" applyBorder="1" applyAlignment="1">
      <alignment wrapText="1"/>
    </xf>
    <xf numFmtId="0" fontId="3" fillId="0" borderId="0" xfId="0" applyFont="1" applyFill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center"/>
    </xf>
    <xf numFmtId="49" fontId="3" fillId="0" borderId="0" xfId="73" applyNumberFormat="1" applyFont="1" applyFill="1" applyAlignment="1">
      <alignment horizontal="center" vertical="center"/>
    </xf>
    <xf numFmtId="0" fontId="3" fillId="23" borderId="0" xfId="73" applyFont="1" applyFill="1"/>
    <xf numFmtId="49" fontId="3" fillId="23" borderId="0" xfId="73" applyNumberFormat="1" applyFont="1" applyFill="1"/>
    <xf numFmtId="0" fontId="3" fillId="0" borderId="0" xfId="73" applyFont="1" applyFill="1"/>
    <xf numFmtId="0" fontId="3" fillId="23" borderId="0" xfId="73" applyFont="1" applyFill="1" applyBorder="1" applyAlignment="1">
      <alignment horizontal="center"/>
    </xf>
    <xf numFmtId="0" fontId="3" fillId="0" borderId="40" xfId="73" applyFont="1" applyFill="1" applyBorder="1" applyAlignment="1">
      <alignment horizontal="center" vertical="center" wrapText="1"/>
    </xf>
    <xf numFmtId="0" fontId="3" fillId="0" borderId="40" xfId="73" applyFont="1" applyFill="1" applyBorder="1" applyAlignment="1">
      <alignment horizontal="center" vertical="center"/>
    </xf>
    <xf numFmtId="0" fontId="3" fillId="0" borderId="42" xfId="73" applyFont="1" applyFill="1" applyBorder="1" applyAlignment="1">
      <alignment horizontal="center" vertical="center"/>
    </xf>
    <xf numFmtId="0" fontId="9" fillId="0" borderId="41" xfId="73" applyFont="1" applyFill="1" applyBorder="1" applyAlignment="1">
      <alignment horizontal="center" vertical="center" wrapText="1"/>
    </xf>
    <xf numFmtId="0" fontId="9" fillId="0" borderId="43" xfId="73" applyFont="1" applyFill="1" applyBorder="1" applyAlignment="1">
      <alignment horizontal="center" vertical="center" wrapText="1"/>
    </xf>
    <xf numFmtId="0" fontId="9" fillId="0" borderId="40" xfId="73" applyFont="1" applyFill="1" applyBorder="1" applyAlignment="1">
      <alignment horizontal="center" vertical="center" wrapText="1"/>
    </xf>
    <xf numFmtId="0" fontId="11" fillId="0" borderId="40" xfId="73" applyFont="1" applyFill="1" applyBorder="1" applyAlignment="1">
      <alignment horizontal="center" vertical="center"/>
    </xf>
    <xf numFmtId="0" fontId="11" fillId="0" borderId="42" xfId="73" applyFont="1" applyFill="1" applyBorder="1" applyAlignment="1">
      <alignment horizontal="center" vertical="center"/>
    </xf>
    <xf numFmtId="0" fontId="3" fillId="0" borderId="0" xfId="73" applyFont="1" applyFill="1" applyAlignment="1">
      <alignment vertical="center"/>
    </xf>
    <xf numFmtId="49" fontId="3" fillId="0" borderId="44" xfId="73" applyNumberFormat="1" applyFont="1" applyFill="1" applyBorder="1" applyAlignment="1">
      <alignment horizontal="center" vertical="center" wrapText="1"/>
    </xf>
    <xf numFmtId="0" fontId="9" fillId="0" borderId="38" xfId="73" applyFont="1" applyFill="1" applyBorder="1" applyAlignment="1">
      <alignment horizontal="center" vertical="center" wrapText="1"/>
    </xf>
    <xf numFmtId="0" fontId="3" fillId="0" borderId="39" xfId="73" applyFont="1" applyFill="1" applyBorder="1" applyAlignment="1">
      <alignment horizontal="center" vertical="center" wrapText="1"/>
    </xf>
    <xf numFmtId="0" fontId="3" fillId="0" borderId="37" xfId="73" applyFont="1" applyFill="1" applyBorder="1" applyAlignment="1">
      <alignment horizontal="center" vertical="center" wrapText="1"/>
    </xf>
    <xf numFmtId="49" fontId="3" fillId="0" borderId="36" xfId="73" applyNumberFormat="1" applyFont="1" applyFill="1" applyBorder="1" applyAlignment="1">
      <alignment horizontal="center" vertical="center" wrapText="1"/>
    </xf>
    <xf numFmtId="4" fontId="3" fillId="0" borderId="39" xfId="73" applyNumberFormat="1" applyFont="1" applyFill="1" applyBorder="1"/>
    <xf numFmtId="4" fontId="3" fillId="0" borderId="38" xfId="73" applyNumberFormat="1" applyFont="1" applyFill="1" applyBorder="1"/>
    <xf numFmtId="4" fontId="3" fillId="0" borderId="36" xfId="73" applyNumberFormat="1" applyFont="1" applyFill="1" applyBorder="1"/>
    <xf numFmtId="49" fontId="44" fillId="0" borderId="45" xfId="73" applyNumberFormat="1" applyFont="1" applyFill="1" applyBorder="1" applyAlignment="1">
      <alignment horizontal="center" vertical="center" wrapText="1"/>
    </xf>
    <xf numFmtId="0" fontId="45" fillId="0" borderId="28" xfId="73" applyFont="1" applyFill="1" applyBorder="1" applyAlignment="1">
      <alignment horizontal="left" vertical="center" wrapText="1"/>
    </xf>
    <xf numFmtId="49" fontId="46" fillId="0" borderId="28" xfId="73" applyNumberFormat="1" applyFont="1" applyFill="1" applyBorder="1" applyAlignment="1">
      <alignment horizontal="center" vertical="center" wrapText="1"/>
    </xf>
    <xf numFmtId="49" fontId="46" fillId="0" borderId="0" xfId="73" applyNumberFormat="1" applyFont="1" applyFill="1" applyBorder="1" applyAlignment="1">
      <alignment horizontal="center" vertical="center" wrapText="1"/>
    </xf>
    <xf numFmtId="0" fontId="46" fillId="0" borderId="0" xfId="73" applyFont="1" applyFill="1" applyBorder="1" applyAlignment="1">
      <alignment horizontal="center" vertical="center" wrapText="1"/>
    </xf>
    <xf numFmtId="0" fontId="46" fillId="0" borderId="30" xfId="73" applyFont="1" applyFill="1" applyBorder="1" applyAlignment="1">
      <alignment horizontal="center" vertical="center" wrapText="1"/>
    </xf>
    <xf numFmtId="49" fontId="46" fillId="0" borderId="29" xfId="73" applyNumberFormat="1" applyFont="1" applyFill="1" applyBorder="1" applyAlignment="1">
      <alignment horizontal="center" vertical="center" wrapText="1"/>
    </xf>
    <xf numFmtId="4" fontId="1" fillId="0" borderId="0" xfId="73" applyNumberFormat="1" applyFont="1" applyFill="1" applyBorder="1" applyAlignment="1">
      <alignment vertical="center"/>
    </xf>
    <xf numFmtId="4" fontId="1" fillId="0" borderId="28" xfId="73" applyNumberFormat="1" applyFont="1" applyFill="1" applyBorder="1" applyAlignment="1">
      <alignment vertical="center"/>
    </xf>
    <xf numFmtId="4" fontId="1" fillId="0" borderId="29" xfId="73" applyNumberFormat="1" applyFont="1" applyFill="1" applyBorder="1" applyAlignment="1">
      <alignment vertical="center"/>
    </xf>
    <xf numFmtId="0" fontId="41" fillId="0" borderId="28" xfId="73" applyFont="1" applyFill="1" applyBorder="1" applyAlignment="1">
      <alignment horizontal="left" vertical="center" wrapText="1"/>
    </xf>
    <xf numFmtId="49" fontId="1" fillId="0" borderId="28" xfId="73" applyNumberFormat="1" applyFont="1" applyFill="1" applyBorder="1" applyAlignment="1">
      <alignment horizontal="center" vertical="center" wrapText="1"/>
    </xf>
    <xf numFmtId="49" fontId="1" fillId="0" borderId="0" xfId="73" applyNumberFormat="1" applyFont="1" applyFill="1" applyBorder="1" applyAlignment="1">
      <alignment horizontal="center" vertical="center" wrapText="1"/>
    </xf>
    <xf numFmtId="49" fontId="1" fillId="0" borderId="30" xfId="73" applyNumberFormat="1" applyFont="1" applyFill="1" applyBorder="1" applyAlignment="1">
      <alignment horizontal="center" vertical="center" wrapText="1"/>
    </xf>
    <xf numFmtId="49" fontId="1" fillId="0" borderId="29" xfId="73" applyNumberFormat="1" applyFont="1" applyFill="1" applyBorder="1" applyAlignment="1">
      <alignment horizontal="center" vertical="center" wrapText="1"/>
    </xf>
    <xf numFmtId="4" fontId="1" fillId="0" borderId="30" xfId="73" applyNumberFormat="1" applyFont="1" applyFill="1" applyBorder="1" applyAlignment="1">
      <alignment vertical="center"/>
    </xf>
    <xf numFmtId="49" fontId="46" fillId="0" borderId="45" xfId="73" applyNumberFormat="1" applyFont="1" applyFill="1" applyBorder="1" applyAlignment="1">
      <alignment horizontal="center" vertical="center" wrapText="1"/>
    </xf>
    <xf numFmtId="0" fontId="1" fillId="0" borderId="28" xfId="73" applyNumberFormat="1" applyFont="1" applyFill="1" applyBorder="1" applyAlignment="1">
      <alignment horizontal="left" vertical="center" wrapText="1"/>
    </xf>
    <xf numFmtId="0" fontId="1" fillId="0" borderId="0" xfId="73" applyFont="1" applyFill="1"/>
    <xf numFmtId="0" fontId="3" fillId="0" borderId="28" xfId="0" applyFont="1" applyFill="1" applyBorder="1" applyAlignment="1">
      <alignment wrapText="1"/>
    </xf>
    <xf numFmtId="49" fontId="5" fillId="0" borderId="29" xfId="73" applyNumberFormat="1" applyFont="1" applyFill="1" applyBorder="1" applyAlignment="1">
      <alignment horizontal="center" vertical="center"/>
    </xf>
    <xf numFmtId="4" fontId="3" fillId="0" borderId="28" xfId="73" applyNumberFormat="1" applyFont="1" applyFill="1" applyBorder="1" applyAlignment="1">
      <alignment vertical="center"/>
    </xf>
    <xf numFmtId="4" fontId="3" fillId="0" borderId="29" xfId="73" applyNumberFormat="1" applyFont="1" applyFill="1" applyBorder="1" applyAlignment="1">
      <alignment vertical="center"/>
    </xf>
    <xf numFmtId="4" fontId="3" fillId="0" borderId="30" xfId="73" applyNumberFormat="1" applyFont="1" applyFill="1" applyBorder="1" applyAlignment="1">
      <alignment vertical="center"/>
    </xf>
    <xf numFmtId="0" fontId="3" fillId="0" borderId="28" xfId="73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justify"/>
    </xf>
    <xf numFmtId="49" fontId="3" fillId="0" borderId="29" xfId="73" applyNumberFormat="1" applyFont="1" applyFill="1" applyBorder="1" applyAlignment="1">
      <alignment horizontal="center" vertical="center"/>
    </xf>
    <xf numFmtId="4" fontId="3" fillId="0" borderId="28" xfId="73" applyNumberFormat="1" applyFont="1" applyFill="1" applyBorder="1" applyAlignment="1">
      <alignment horizontal="right" vertical="distributed"/>
    </xf>
    <xf numFmtId="4" fontId="3" fillId="0" borderId="29" xfId="73" applyNumberFormat="1" applyFont="1" applyFill="1" applyBorder="1" applyAlignment="1">
      <alignment horizontal="right" vertical="distributed"/>
    </xf>
    <xf numFmtId="4" fontId="3" fillId="0" borderId="30" xfId="73" applyNumberFormat="1" applyFont="1" applyFill="1" applyBorder="1" applyAlignment="1">
      <alignment horizontal="right" vertical="distributed"/>
    </xf>
    <xf numFmtId="49" fontId="3" fillId="0" borderId="28" xfId="73" applyNumberFormat="1" applyFont="1" applyFill="1" applyBorder="1" applyAlignment="1">
      <alignment horizontal="center" vertical="center" wrapText="1"/>
    </xf>
    <xf numFmtId="49" fontId="3" fillId="0" borderId="29" xfId="73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3" fillId="0" borderId="29" xfId="0" applyNumberFormat="1" applyFont="1" applyFill="1" applyBorder="1" applyAlignment="1">
      <alignment vertical="center"/>
    </xf>
    <xf numFmtId="4" fontId="3" fillId="0" borderId="30" xfId="0" applyNumberFormat="1" applyFont="1" applyFill="1" applyBorder="1" applyAlignment="1">
      <alignment vertical="center"/>
    </xf>
    <xf numFmtId="4" fontId="3" fillId="0" borderId="28" xfId="0" applyNumberFormat="1" applyFont="1" applyFill="1" applyBorder="1" applyAlignment="1">
      <alignment horizontal="right" vertical="distributed"/>
    </xf>
    <xf numFmtId="4" fontId="3" fillId="0" borderId="29" xfId="0" applyNumberFormat="1" applyFont="1" applyFill="1" applyBorder="1" applyAlignment="1">
      <alignment horizontal="right" vertical="distributed"/>
    </xf>
    <xf numFmtId="4" fontId="3" fillId="0" borderId="30" xfId="0" applyNumberFormat="1" applyFont="1" applyFill="1" applyBorder="1" applyAlignment="1">
      <alignment horizontal="right" vertical="distributed"/>
    </xf>
    <xf numFmtId="0" fontId="3" fillId="0" borderId="28" xfId="73" applyNumberFormat="1" applyFont="1" applyFill="1" applyBorder="1" applyAlignment="1">
      <alignment horizontal="left" vertical="center" wrapText="1"/>
    </xf>
    <xf numFmtId="49" fontId="1" fillId="0" borderId="0" xfId="73" applyNumberFormat="1" applyFont="1" applyFill="1" applyBorder="1" applyAlignment="1">
      <alignment horizontal="center" vertical="center"/>
    </xf>
    <xf numFmtId="49" fontId="1" fillId="0" borderId="30" xfId="73" applyNumberFormat="1" applyFont="1" applyFill="1" applyBorder="1" applyAlignment="1">
      <alignment horizontal="center" vertical="distributed"/>
    </xf>
    <xf numFmtId="49" fontId="1" fillId="0" borderId="0" xfId="73" applyNumberFormat="1" applyFont="1" applyFill="1" applyBorder="1" applyAlignment="1">
      <alignment horizontal="center" vertical="distributed" wrapText="1"/>
    </xf>
    <xf numFmtId="49" fontId="1" fillId="0" borderId="0" xfId="73" applyNumberFormat="1" applyFont="1" applyFill="1" applyBorder="1" applyAlignment="1">
      <alignment horizontal="center" vertical="distributed"/>
    </xf>
    <xf numFmtId="0" fontId="3" fillId="0" borderId="31" xfId="0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" fontId="3" fillId="0" borderId="33" xfId="0" applyNumberFormat="1" applyFont="1" applyFill="1" applyBorder="1" applyAlignment="1">
      <alignment vertical="center"/>
    </xf>
    <xf numFmtId="4" fontId="3" fillId="0" borderId="31" xfId="0" applyNumberFormat="1" applyFont="1" applyFill="1" applyBorder="1" applyAlignment="1">
      <alignment vertical="center"/>
    </xf>
    <xf numFmtId="4" fontId="3" fillId="0" borderId="32" xfId="0" applyNumberFormat="1" applyFont="1" applyFill="1" applyBorder="1" applyAlignment="1">
      <alignment vertical="center"/>
    </xf>
    <xf numFmtId="49" fontId="1" fillId="0" borderId="38" xfId="73" applyNumberFormat="1" applyFont="1" applyFill="1" applyBorder="1" applyAlignment="1">
      <alignment horizontal="center" vertical="distributed"/>
    </xf>
    <xf numFmtId="49" fontId="1" fillId="0" borderId="39" xfId="73" applyNumberFormat="1" applyFont="1" applyFill="1" applyBorder="1" applyAlignment="1">
      <alignment horizontal="center" vertical="distributed"/>
    </xf>
    <xf numFmtId="49" fontId="1" fillId="0" borderId="37" xfId="73" applyNumberFormat="1" applyFont="1" applyFill="1" applyBorder="1" applyAlignment="1">
      <alignment horizontal="center" vertical="distributed"/>
    </xf>
    <xf numFmtId="49" fontId="3" fillId="0" borderId="36" xfId="73" applyNumberFormat="1" applyFont="1" applyFill="1" applyBorder="1" applyAlignment="1">
      <alignment horizontal="center" vertical="center"/>
    </xf>
    <xf numFmtId="4" fontId="1" fillId="0" borderId="39" xfId="0" applyNumberFormat="1" applyFont="1" applyFill="1" applyBorder="1" applyAlignment="1">
      <alignment vertical="center"/>
    </xf>
    <xf numFmtId="4" fontId="1" fillId="0" borderId="38" xfId="0" applyNumberFormat="1" applyFont="1" applyFill="1" applyBorder="1" applyAlignment="1">
      <alignment vertical="center"/>
    </xf>
    <xf numFmtId="4" fontId="1" fillId="0" borderId="36" xfId="0" applyNumberFormat="1" applyFont="1" applyFill="1" applyBorder="1" applyAlignment="1">
      <alignment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 applyProtection="1">
      <alignment horizontal="left" vertical="center" wrapText="1"/>
      <protection locked="0"/>
    </xf>
    <xf numFmtId="4" fontId="5" fillId="0" borderId="29" xfId="0" applyNumberFormat="1" applyFont="1" applyFill="1" applyBorder="1" applyAlignment="1">
      <alignment horizontal="right" vertical="distributed"/>
    </xf>
    <xf numFmtId="4" fontId="5" fillId="0" borderId="30" xfId="0" applyNumberFormat="1" applyFont="1" applyFill="1" applyBorder="1" applyAlignment="1">
      <alignment horizontal="right" vertical="distributed"/>
    </xf>
    <xf numFmtId="0" fontId="41" fillId="0" borderId="28" xfId="73" applyNumberFormat="1" applyFont="1" applyFill="1" applyBorder="1" applyAlignment="1">
      <alignment horizontal="left" vertical="center" wrapText="1"/>
    </xf>
    <xf numFmtId="49" fontId="1" fillId="0" borderId="38" xfId="73" applyNumberFormat="1" applyFont="1" applyFill="1" applyBorder="1" applyAlignment="1">
      <alignment horizontal="center" vertical="center" wrapText="1"/>
    </xf>
    <xf numFmtId="49" fontId="1" fillId="0" borderId="39" xfId="73" applyNumberFormat="1" applyFont="1" applyFill="1" applyBorder="1" applyAlignment="1">
      <alignment horizontal="center" vertical="center" wrapText="1"/>
    </xf>
    <xf numFmtId="49" fontId="1" fillId="0" borderId="39" xfId="73" applyNumberFormat="1" applyFont="1" applyFill="1" applyBorder="1" applyAlignment="1">
      <alignment horizontal="center" vertical="center"/>
    </xf>
    <xf numFmtId="4" fontId="1" fillId="0" borderId="39" xfId="73" applyNumberFormat="1" applyFont="1" applyFill="1" applyBorder="1" applyAlignment="1">
      <alignment vertical="center"/>
    </xf>
    <xf numFmtId="4" fontId="1" fillId="0" borderId="38" xfId="73" applyNumberFormat="1" applyFont="1" applyFill="1" applyBorder="1" applyAlignment="1">
      <alignment vertical="center"/>
    </xf>
    <xf numFmtId="4" fontId="1" fillId="0" borderId="36" xfId="73" applyNumberFormat="1" applyFont="1" applyFill="1" applyBorder="1" applyAlignment="1">
      <alignment vertical="center"/>
    </xf>
    <xf numFmtId="4" fontId="1" fillId="0" borderId="37" xfId="73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wrapText="1"/>
    </xf>
    <xf numFmtId="49" fontId="3" fillId="0" borderId="29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distributed"/>
    </xf>
    <xf numFmtId="49" fontId="5" fillId="0" borderId="34" xfId="0" applyNumberFormat="1" applyFont="1" applyFill="1" applyBorder="1" applyAlignment="1">
      <alignment horizontal="center" vertical="distributed"/>
    </xf>
    <xf numFmtId="49" fontId="5" fillId="0" borderId="32" xfId="0" applyNumberFormat="1" applyFont="1" applyFill="1" applyBorder="1" applyAlignment="1">
      <alignment horizontal="center" vertical="center"/>
    </xf>
    <xf numFmtId="4" fontId="3" fillId="0" borderId="31" xfId="73" applyNumberFormat="1" applyFont="1" applyFill="1" applyBorder="1" applyAlignment="1">
      <alignment vertical="center"/>
    </xf>
    <xf numFmtId="4" fontId="3" fillId="0" borderId="32" xfId="73" applyNumberFormat="1" applyFont="1" applyFill="1" applyBorder="1" applyAlignment="1">
      <alignment vertical="center"/>
    </xf>
    <xf numFmtId="4" fontId="3" fillId="0" borderId="34" xfId="73" applyNumberFormat="1" applyFont="1" applyFill="1" applyBorder="1" applyAlignment="1">
      <alignment vertical="center"/>
    </xf>
    <xf numFmtId="0" fontId="3" fillId="0" borderId="38" xfId="73" applyFont="1" applyFill="1" applyBorder="1" applyAlignment="1">
      <alignment horizontal="left" vertical="center" wrapText="1"/>
    </xf>
    <xf numFmtId="49" fontId="2" fillId="0" borderId="38" xfId="73" applyNumberFormat="1" applyFont="1" applyFill="1" applyBorder="1" applyAlignment="1">
      <alignment horizontal="center" vertical="center"/>
    </xf>
    <xf numFmtId="49" fontId="2" fillId="0" borderId="39" xfId="73" applyNumberFormat="1" applyFont="1" applyFill="1" applyBorder="1" applyAlignment="1">
      <alignment horizontal="center" vertical="center"/>
    </xf>
    <xf numFmtId="49" fontId="5" fillId="0" borderId="39" xfId="73" applyNumberFormat="1" applyFont="1" applyFill="1" applyBorder="1" applyAlignment="1">
      <alignment horizontal="center" vertical="center"/>
    </xf>
    <xf numFmtId="49" fontId="5" fillId="0" borderId="37" xfId="73" applyNumberFormat="1" applyFont="1" applyFill="1" applyBorder="1" applyAlignment="1">
      <alignment horizontal="center" vertical="center"/>
    </xf>
    <xf numFmtId="49" fontId="5" fillId="0" borderId="36" xfId="73" applyNumberFormat="1" applyFont="1" applyFill="1" applyBorder="1" applyAlignment="1">
      <alignment horizontal="center" vertical="center"/>
    </xf>
    <xf numFmtId="4" fontId="3" fillId="0" borderId="39" xfId="0" applyNumberFormat="1" applyFont="1" applyFill="1" applyBorder="1" applyAlignment="1">
      <alignment vertical="center"/>
    </xf>
    <xf numFmtId="4" fontId="3" fillId="0" borderId="38" xfId="0" applyNumberFormat="1" applyFont="1" applyFill="1" applyBorder="1" applyAlignment="1">
      <alignment vertical="center"/>
    </xf>
    <xf numFmtId="4" fontId="3" fillId="0" borderId="36" xfId="0" applyNumberFormat="1" applyFont="1" applyFill="1" applyBorder="1" applyAlignment="1">
      <alignment vertical="center"/>
    </xf>
    <xf numFmtId="4" fontId="3" fillId="0" borderId="37" xfId="0" applyNumberFormat="1" applyFont="1" applyFill="1" applyBorder="1" applyAlignment="1">
      <alignment vertical="center"/>
    </xf>
    <xf numFmtId="0" fontId="2" fillId="0" borderId="28" xfId="75" applyFont="1" applyFill="1" applyBorder="1" applyAlignment="1">
      <alignment vertical="top" wrapText="1"/>
    </xf>
    <xf numFmtId="49" fontId="1" fillId="0" borderId="0" xfId="73" applyNumberFormat="1" applyFont="1" applyFill="1" applyAlignment="1">
      <alignment horizontal="center" vertical="center"/>
    </xf>
    <xf numFmtId="49" fontId="1" fillId="0" borderId="36" xfId="73" applyNumberFormat="1" applyFont="1" applyFill="1" applyBorder="1"/>
    <xf numFmtId="0" fontId="3" fillId="0" borderId="31" xfId="73" applyFont="1" applyFill="1" applyBorder="1" applyAlignment="1">
      <alignment horizontal="left" vertical="center" wrapText="1"/>
    </xf>
    <xf numFmtId="0" fontId="3" fillId="0" borderId="33" xfId="73" applyFont="1" applyFill="1" applyBorder="1" applyAlignment="1">
      <alignment horizontal="center" vertical="distributed"/>
    </xf>
    <xf numFmtId="49" fontId="5" fillId="0" borderId="32" xfId="73" applyNumberFormat="1" applyFont="1" applyFill="1" applyBorder="1" applyAlignment="1">
      <alignment horizontal="center" vertical="center"/>
    </xf>
    <xf numFmtId="4" fontId="3" fillId="0" borderId="33" xfId="73" applyNumberFormat="1" applyFont="1" applyFill="1" applyBorder="1" applyAlignment="1"/>
    <xf numFmtId="4" fontId="3" fillId="0" borderId="31" xfId="73" applyNumberFormat="1" applyFont="1" applyFill="1" applyBorder="1" applyAlignment="1"/>
    <xf numFmtId="4" fontId="3" fillId="0" borderId="32" xfId="73" applyNumberFormat="1" applyFont="1" applyFill="1" applyBorder="1" applyAlignment="1"/>
    <xf numFmtId="0" fontId="3" fillId="0" borderId="28" xfId="73" applyFont="1" applyFill="1" applyBorder="1" applyAlignment="1">
      <alignment horizontal="left" vertical="distributed" wrapText="1"/>
    </xf>
    <xf numFmtId="49" fontId="3" fillId="0" borderId="33" xfId="73" applyNumberFormat="1" applyFont="1" applyFill="1" applyBorder="1" applyAlignment="1">
      <alignment horizontal="center" vertical="distributed" wrapText="1"/>
    </xf>
    <xf numFmtId="4" fontId="3" fillId="0" borderId="33" xfId="73" applyNumberFormat="1" applyFont="1" applyFill="1" applyBorder="1" applyAlignment="1">
      <alignment vertical="center"/>
    </xf>
    <xf numFmtId="49" fontId="1" fillId="0" borderId="28" xfId="0" applyNumberFormat="1" applyFont="1" applyFill="1" applyBorder="1" applyAlignment="1">
      <alignment horizontal="center" vertical="distributed"/>
    </xf>
    <xf numFmtId="49" fontId="1" fillId="0" borderId="30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0" xfId="73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28" xfId="0" applyNumberFormat="1" applyFont="1" applyFill="1" applyBorder="1" applyAlignment="1">
      <alignment vertical="center"/>
    </xf>
    <xf numFmtId="4" fontId="1" fillId="0" borderId="29" xfId="0" applyNumberFormat="1" applyFont="1" applyFill="1" applyBorder="1" applyAlignment="1">
      <alignment vertical="center"/>
    </xf>
    <xf numFmtId="49" fontId="5" fillId="0" borderId="34" xfId="73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45" xfId="73" applyNumberFormat="1" applyFont="1" applyFill="1" applyBorder="1" applyAlignment="1">
      <alignment horizontal="center" vertical="center"/>
    </xf>
    <xf numFmtId="49" fontId="1" fillId="0" borderId="28" xfId="73" applyNumberFormat="1" applyFont="1" applyFill="1" applyBorder="1" applyAlignment="1">
      <alignment horizontal="center" vertical="center"/>
    </xf>
    <xf numFmtId="49" fontId="1" fillId="0" borderId="29" xfId="73" applyNumberFormat="1" applyFont="1" applyFill="1" applyBorder="1" applyAlignment="1">
      <alignment horizontal="center" vertical="center"/>
    </xf>
    <xf numFmtId="49" fontId="3" fillId="0" borderId="45" xfId="73" applyNumberFormat="1" applyFont="1" applyFill="1" applyBorder="1" applyAlignment="1">
      <alignment horizontal="center" vertical="center"/>
    </xf>
    <xf numFmtId="49" fontId="3" fillId="0" borderId="31" xfId="73" applyNumberFormat="1" applyFont="1" applyFill="1" applyBorder="1" applyAlignment="1">
      <alignment horizontal="center" vertical="center"/>
    </xf>
    <xf numFmtId="49" fontId="3" fillId="0" borderId="34" xfId="73" applyNumberFormat="1" applyFont="1" applyFill="1" applyBorder="1" applyAlignment="1">
      <alignment horizontal="center" vertical="center"/>
    </xf>
    <xf numFmtId="49" fontId="3" fillId="0" borderId="32" xfId="73" applyNumberFormat="1" applyFont="1" applyFill="1" applyBorder="1" applyAlignment="1">
      <alignment horizontal="center" vertical="center"/>
    </xf>
    <xf numFmtId="49" fontId="1" fillId="0" borderId="38" xfId="73" applyNumberFormat="1" applyFont="1" applyFill="1" applyBorder="1" applyAlignment="1">
      <alignment horizontal="center" vertical="center"/>
    </xf>
    <xf numFmtId="49" fontId="3" fillId="0" borderId="30" xfId="73" applyNumberFormat="1" applyFont="1" applyFill="1" applyBorder="1" applyAlignment="1">
      <alignment horizontal="center" vertical="center"/>
    </xf>
    <xf numFmtId="4" fontId="3" fillId="0" borderId="39" xfId="73" applyNumberFormat="1" applyFont="1" applyFill="1" applyBorder="1" applyAlignment="1">
      <alignment vertical="center"/>
    </xf>
    <xf numFmtId="4" fontId="3" fillId="0" borderId="38" xfId="73" applyNumberFormat="1" applyFont="1" applyFill="1" applyBorder="1" applyAlignment="1">
      <alignment vertical="center"/>
    </xf>
    <xf numFmtId="4" fontId="3" fillId="0" borderId="36" xfId="73" applyNumberFormat="1" applyFont="1" applyFill="1" applyBorder="1" applyAlignment="1">
      <alignment vertical="center"/>
    </xf>
    <xf numFmtId="4" fontId="3" fillId="0" borderId="37" xfId="73" applyNumberFormat="1" applyFont="1" applyFill="1" applyBorder="1" applyAlignment="1">
      <alignment vertical="center"/>
    </xf>
    <xf numFmtId="49" fontId="2" fillId="0" borderId="28" xfId="73" applyNumberFormat="1" applyFont="1" applyFill="1" applyBorder="1" applyAlignment="1">
      <alignment horizontal="center" vertical="center"/>
    </xf>
    <xf numFmtId="49" fontId="2" fillId="0" borderId="31" xfId="73" applyNumberFormat="1" applyFont="1" applyFill="1" applyBorder="1" applyAlignment="1">
      <alignment horizontal="center" vertical="center"/>
    </xf>
    <xf numFmtId="49" fontId="2" fillId="0" borderId="33" xfId="73" applyNumberFormat="1" applyFont="1" applyFill="1" applyBorder="1" applyAlignment="1">
      <alignment horizontal="center" vertical="center"/>
    </xf>
    <xf numFmtId="49" fontId="3" fillId="0" borderId="38" xfId="73" applyNumberFormat="1" applyFont="1" applyFill="1" applyBorder="1" applyAlignment="1">
      <alignment horizontal="center" vertical="center"/>
    </xf>
    <xf numFmtId="49" fontId="3" fillId="0" borderId="39" xfId="73" applyNumberFormat="1" applyFont="1" applyFill="1" applyBorder="1" applyAlignment="1">
      <alignment horizontal="center" vertical="center"/>
    </xf>
    <xf numFmtId="49" fontId="3" fillId="0" borderId="37" xfId="73" applyNumberFormat="1" applyFont="1" applyFill="1" applyBorder="1" applyAlignment="1">
      <alignment horizontal="center" vertical="center"/>
    </xf>
    <xf numFmtId="49" fontId="3" fillId="0" borderId="37" xfId="73" applyNumberFormat="1" applyFont="1" applyFill="1" applyBorder="1" applyAlignment="1">
      <alignment horizontal="center" vertical="distributed"/>
    </xf>
    <xf numFmtId="49" fontId="7" fillId="0" borderId="28" xfId="73" applyNumberFormat="1" applyFont="1" applyFill="1" applyBorder="1" applyAlignment="1">
      <alignment horizontal="center" vertical="center"/>
    </xf>
    <xf numFmtId="49" fontId="7" fillId="0" borderId="0" xfId="73" applyNumberFormat="1" applyFont="1" applyFill="1" applyBorder="1" applyAlignment="1">
      <alignment horizontal="center" vertical="center"/>
    </xf>
    <xf numFmtId="49" fontId="6" fillId="0" borderId="0" xfId="73" applyNumberFormat="1" applyFont="1" applyFill="1" applyBorder="1" applyAlignment="1">
      <alignment horizontal="center" vertical="center"/>
    </xf>
    <xf numFmtId="49" fontId="6" fillId="0" borderId="29" xfId="73" applyNumberFormat="1" applyFont="1" applyFill="1" applyBorder="1" applyAlignment="1">
      <alignment horizontal="center" vertical="center"/>
    </xf>
    <xf numFmtId="0" fontId="3" fillId="0" borderId="28" xfId="73" applyFont="1" applyFill="1" applyBorder="1" applyAlignment="1">
      <alignment wrapText="1"/>
    </xf>
    <xf numFmtId="4" fontId="3" fillId="0" borderId="31" xfId="73" applyNumberFormat="1" applyFont="1" applyFill="1" applyBorder="1" applyAlignment="1">
      <alignment horizontal="right" vertical="distributed"/>
    </xf>
    <xf numFmtId="4" fontId="3" fillId="0" borderId="32" xfId="73" applyNumberFormat="1" applyFont="1" applyFill="1" applyBorder="1" applyAlignment="1">
      <alignment horizontal="right" vertical="distributed"/>
    </xf>
    <xf numFmtId="4" fontId="3" fillId="0" borderId="34" xfId="73" applyNumberFormat="1" applyFont="1" applyFill="1" applyBorder="1" applyAlignment="1">
      <alignment horizontal="right" vertical="distributed"/>
    </xf>
    <xf numFmtId="0" fontId="3" fillId="0" borderId="38" xfId="0" applyFont="1" applyFill="1" applyBorder="1" applyAlignment="1">
      <alignment horizontal="left" vertical="center" wrapText="1"/>
    </xf>
    <xf numFmtId="0" fontId="1" fillId="0" borderId="28" xfId="73" applyFont="1" applyFill="1" applyBorder="1" applyAlignment="1">
      <alignment horizontal="left" vertical="center" wrapText="1"/>
    </xf>
    <xf numFmtId="49" fontId="1" fillId="0" borderId="37" xfId="73" applyNumberFormat="1" applyFont="1" applyFill="1" applyBorder="1" applyAlignment="1">
      <alignment vertical="center"/>
    </xf>
    <xf numFmtId="49" fontId="1" fillId="0" borderId="30" xfId="73" applyNumberFormat="1" applyFont="1" applyFill="1" applyBorder="1" applyAlignment="1">
      <alignment horizontal="center" vertical="center"/>
    </xf>
    <xf numFmtId="49" fontId="1" fillId="0" borderId="38" xfId="73" applyNumberFormat="1" applyFont="1" applyFill="1" applyBorder="1" applyAlignment="1">
      <alignment horizontal="center" vertical="distributed" wrapText="1"/>
    </xf>
    <xf numFmtId="49" fontId="1" fillId="0" borderId="39" xfId="73" applyNumberFormat="1" applyFont="1" applyFill="1" applyBorder="1" applyAlignment="1">
      <alignment horizontal="center" vertical="distributed" wrapText="1"/>
    </xf>
    <xf numFmtId="49" fontId="6" fillId="0" borderId="36" xfId="0" applyNumberFormat="1" applyFont="1" applyFill="1" applyBorder="1" applyAlignment="1">
      <alignment horizontal="center" vertical="center"/>
    </xf>
    <xf numFmtId="49" fontId="3" fillId="0" borderId="38" xfId="73" applyNumberFormat="1" applyFont="1" applyFill="1" applyBorder="1" applyAlignment="1">
      <alignment horizontal="center" vertical="distributed"/>
    </xf>
    <xf numFmtId="49" fontId="2" fillId="0" borderId="39" xfId="73" applyNumberFormat="1" applyFont="1" applyFill="1" applyBorder="1" applyAlignment="1">
      <alignment horizontal="center" vertical="distributed"/>
    </xf>
    <xf numFmtId="49" fontId="5" fillId="0" borderId="39" xfId="73" applyNumberFormat="1" applyFont="1" applyFill="1" applyBorder="1" applyAlignment="1">
      <alignment horizontal="center" vertical="distributed"/>
    </xf>
    <xf numFmtId="49" fontId="5" fillId="0" borderId="37" xfId="73" applyNumberFormat="1" applyFont="1" applyFill="1" applyBorder="1" applyAlignment="1">
      <alignment horizontal="center" vertical="distributed"/>
    </xf>
    <xf numFmtId="49" fontId="1" fillId="0" borderId="36" xfId="73" applyNumberFormat="1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left" vertical="center" wrapText="1"/>
    </xf>
    <xf numFmtId="49" fontId="2" fillId="0" borderId="38" xfId="73" applyNumberFormat="1" applyFont="1" applyFill="1" applyBorder="1" applyAlignment="1">
      <alignment horizontal="center" vertical="distributed"/>
    </xf>
    <xf numFmtId="4" fontId="38" fillId="0" borderId="29" xfId="73" applyNumberFormat="1" applyFont="1" applyFill="1" applyBorder="1" applyAlignment="1">
      <alignment horizontal="right" vertical="distributed"/>
    </xf>
    <xf numFmtId="0" fontId="41" fillId="0" borderId="38" xfId="73" applyFont="1" applyFill="1" applyBorder="1" applyAlignment="1">
      <alignment horizontal="left" vertical="center" wrapText="1"/>
    </xf>
    <xf numFmtId="4" fontId="2" fillId="0" borderId="29" xfId="0" applyNumberFormat="1" applyFont="1" applyFill="1" applyBorder="1" applyAlignment="1">
      <alignment horizontal="right" vertical="distributed"/>
    </xf>
    <xf numFmtId="4" fontId="2" fillId="0" borderId="32" xfId="0" applyNumberFormat="1" applyFont="1" applyFill="1" applyBorder="1" applyAlignment="1">
      <alignment horizontal="right" vertical="distributed"/>
    </xf>
    <xf numFmtId="49" fontId="3" fillId="0" borderId="38" xfId="0" applyNumberFormat="1" applyFont="1" applyFill="1" applyBorder="1" applyAlignment="1">
      <alignment horizontal="center" vertical="distributed"/>
    </xf>
    <xf numFmtId="49" fontId="3" fillId="0" borderId="39" xfId="0" applyNumberFormat="1" applyFont="1" applyFill="1" applyBorder="1" applyAlignment="1">
      <alignment horizontal="center" vertical="distributed"/>
    </xf>
    <xf numFmtId="49" fontId="3" fillId="0" borderId="37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 wrapText="1"/>
    </xf>
    <xf numFmtId="0" fontId="41" fillId="0" borderId="40" xfId="73" applyFont="1" applyFill="1" applyBorder="1" applyAlignment="1">
      <alignment horizontal="left" vertical="center" wrapText="1"/>
    </xf>
    <xf numFmtId="4" fontId="1" fillId="0" borderId="40" xfId="73" applyNumberFormat="1" applyFont="1" applyFill="1" applyBorder="1" applyAlignment="1">
      <alignment vertical="center"/>
    </xf>
    <xf numFmtId="4" fontId="1" fillId="0" borderId="41" xfId="73" applyNumberFormat="1" applyFont="1" applyFill="1" applyBorder="1" applyAlignment="1">
      <alignment vertical="center"/>
    </xf>
    <xf numFmtId="4" fontId="1" fillId="0" borderId="42" xfId="73" applyNumberFormat="1" applyFont="1" applyFill="1" applyBorder="1" applyAlignment="1">
      <alignment vertical="center"/>
    </xf>
    <xf numFmtId="49" fontId="3" fillId="0" borderId="0" xfId="73" applyNumberFormat="1" applyFont="1" applyFill="1"/>
    <xf numFmtId="167" fontId="3" fillId="0" borderId="0" xfId="73" applyNumberFormat="1" applyFont="1" applyFill="1"/>
    <xf numFmtId="4" fontId="3" fillId="0" borderId="0" xfId="73" applyNumberFormat="1" applyFont="1" applyFill="1"/>
    <xf numFmtId="49" fontId="3" fillId="0" borderId="0" xfId="73" applyNumberFormat="1" applyFont="1" applyFill="1" applyBorder="1"/>
    <xf numFmtId="0" fontId="3" fillId="0" borderId="0" xfId="73" applyFont="1" applyFill="1" applyBorder="1"/>
    <xf numFmtId="0" fontId="33" fillId="23" borderId="0" xfId="0" applyFont="1" applyFill="1" applyAlignment="1">
      <alignment horizontal="center"/>
    </xf>
    <xf numFmtId="0" fontId="3" fillId="0" borderId="29" xfId="73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49" fontId="7" fillId="0" borderId="38" xfId="73" applyNumberFormat="1" applyFont="1" applyFill="1" applyBorder="1" applyAlignment="1">
      <alignment horizontal="center" vertical="distributed"/>
    </xf>
    <xf numFmtId="49" fontId="7" fillId="0" borderId="39" xfId="73" applyNumberFormat="1" applyFont="1" applyFill="1" applyBorder="1" applyAlignment="1">
      <alignment horizontal="center" vertical="distributed"/>
    </xf>
    <xf numFmtId="4" fontId="5" fillId="0" borderId="32" xfId="0" applyNumberFormat="1" applyFont="1" applyFill="1" applyBorder="1" applyAlignment="1">
      <alignment horizontal="right" vertical="distributed"/>
    </xf>
    <xf numFmtId="4" fontId="5" fillId="0" borderId="34" xfId="0" applyNumberFormat="1" applyFont="1" applyFill="1" applyBorder="1" applyAlignment="1">
      <alignment horizontal="right" vertical="distributed"/>
    </xf>
    <xf numFmtId="49" fontId="6" fillId="0" borderId="39" xfId="73" applyNumberFormat="1" applyFont="1" applyFill="1" applyBorder="1" applyAlignment="1">
      <alignment horizontal="center" vertical="distributed"/>
    </xf>
    <xf numFmtId="0" fontId="3" fillId="0" borderId="29" xfId="0" applyFont="1" applyFill="1" applyBorder="1" applyAlignment="1">
      <alignment horizontal="justify"/>
    </xf>
    <xf numFmtId="49" fontId="5" fillId="0" borderId="30" xfId="73" applyNumberFormat="1" applyFont="1" applyFill="1" applyBorder="1" applyAlignment="1">
      <alignment horizontal="center" vertical="center"/>
    </xf>
    <xf numFmtId="4" fontId="1" fillId="0" borderId="29" xfId="73" applyNumberFormat="1" applyFont="1" applyFill="1" applyBorder="1" applyAlignment="1">
      <alignment horizontal="right" vertical="distributed"/>
    </xf>
    <xf numFmtId="0" fontId="3" fillId="0" borderId="36" xfId="73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/>
    </xf>
    <xf numFmtId="49" fontId="5" fillId="0" borderId="46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168" fontId="3" fillId="0" borderId="48" xfId="0" applyNumberFormat="1" applyFont="1" applyFill="1" applyBorder="1" applyAlignment="1">
      <alignment horizontal="center" vertical="center"/>
    </xf>
    <xf numFmtId="0" fontId="1" fillId="0" borderId="15" xfId="0" applyFont="1" applyFill="1" applyBorder="1"/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68" fontId="3" fillId="0" borderId="15" xfId="0" applyNumberFormat="1" applyFont="1" applyFill="1" applyBorder="1" applyAlignment="1">
      <alignment horizontal="center" vertical="center"/>
    </xf>
    <xf numFmtId="0" fontId="34" fillId="23" borderId="0" xfId="0" applyFont="1" applyFill="1" applyAlignment="1"/>
    <xf numFmtId="49" fontId="7" fillId="0" borderId="3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distributed"/>
    </xf>
    <xf numFmtId="0" fontId="1" fillId="0" borderId="30" xfId="0" applyFont="1" applyFill="1" applyBorder="1" applyAlignment="1">
      <alignment horizontal="center" vertical="distributed"/>
    </xf>
    <xf numFmtId="49" fontId="5" fillId="0" borderId="28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 vertical="distributed"/>
    </xf>
    <xf numFmtId="0" fontId="1" fillId="0" borderId="28" xfId="0" applyFont="1" applyBorder="1"/>
    <xf numFmtId="49" fontId="5" fillId="0" borderId="28" xfId="0" applyNumberFormat="1" applyFont="1" applyFill="1" applyBorder="1" applyAlignment="1">
      <alignment vertical="distributed"/>
    </xf>
    <xf numFmtId="49" fontId="1" fillId="0" borderId="29" xfId="0" applyNumberFormat="1" applyFont="1" applyFill="1" applyBorder="1" applyAlignment="1">
      <alignment horizontal="center" vertical="distributed"/>
    </xf>
    <xf numFmtId="49" fontId="7" fillId="0" borderId="28" xfId="73" applyNumberFormat="1" applyFont="1" applyFill="1" applyBorder="1" applyAlignment="1">
      <alignment horizontal="center" vertical="distributed"/>
    </xf>
    <xf numFmtId="49" fontId="7" fillId="0" borderId="0" xfId="73" applyNumberFormat="1" applyFont="1" applyFill="1" applyBorder="1" applyAlignment="1">
      <alignment horizontal="center" vertical="distributed"/>
    </xf>
    <xf numFmtId="49" fontId="6" fillId="0" borderId="0" xfId="73" applyNumberFormat="1" applyFont="1" applyFill="1" applyBorder="1" applyAlignment="1">
      <alignment horizontal="center" vertical="distributed"/>
    </xf>
    <xf numFmtId="4" fontId="1" fillId="0" borderId="0" xfId="73" applyNumberFormat="1" applyFont="1" applyFill="1" applyBorder="1" applyAlignment="1">
      <alignment horizontal="right" vertical="distributed"/>
    </xf>
    <xf numFmtId="4" fontId="1" fillId="0" borderId="27" xfId="73" applyNumberFormat="1" applyFont="1" applyFill="1" applyBorder="1" applyAlignment="1">
      <alignment horizontal="right" vertical="distributed"/>
    </xf>
    <xf numFmtId="164" fontId="5" fillId="0" borderId="49" xfId="0" applyNumberFormat="1" applyFont="1" applyFill="1" applyBorder="1" applyAlignment="1">
      <alignment horizontal="right" vertical="distributed"/>
    </xf>
    <xf numFmtId="49" fontId="1" fillId="0" borderId="38" xfId="0" applyNumberFormat="1" applyFont="1" applyFill="1" applyBorder="1" applyAlignment="1">
      <alignment horizontal="center" vertical="distributed"/>
    </xf>
    <xf numFmtId="49" fontId="3" fillId="0" borderId="36" xfId="0" applyNumberFormat="1" applyFont="1" applyFill="1" applyBorder="1" applyAlignment="1">
      <alignment horizontal="center" vertical="distributed"/>
    </xf>
    <xf numFmtId="0" fontId="3" fillId="0" borderId="28" xfId="0" applyFont="1" applyFill="1" applyBorder="1"/>
    <xf numFmtId="0" fontId="1" fillId="0" borderId="28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wrapText="1"/>
    </xf>
    <xf numFmtId="0" fontId="3" fillId="23" borderId="28" xfId="73" applyFont="1" applyFill="1" applyBorder="1" applyAlignment="1">
      <alignment horizontal="left" vertical="center" wrapText="1"/>
    </xf>
    <xf numFmtId="0" fontId="1" fillId="23" borderId="28" xfId="73" applyFont="1" applyFill="1" applyBorder="1" applyAlignment="1">
      <alignment horizontal="left" vertical="center" wrapText="1"/>
    </xf>
    <xf numFmtId="0" fontId="3" fillId="22" borderId="41" xfId="0" applyFont="1" applyFill="1" applyBorder="1" applyAlignment="1">
      <alignment horizontal="center"/>
    </xf>
    <xf numFmtId="0" fontId="5" fillId="22" borderId="43" xfId="0" applyFont="1" applyFill="1" applyBorder="1" applyAlignment="1">
      <alignment horizontal="center" vertical="distributed"/>
    </xf>
    <xf numFmtId="0" fontId="5" fillId="22" borderId="50" xfId="0" applyFont="1" applyFill="1" applyBorder="1" applyAlignment="1">
      <alignment horizontal="center" vertical="distributed"/>
    </xf>
    <xf numFmtId="49" fontId="5" fillId="0" borderId="30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49" fontId="6" fillId="0" borderId="30" xfId="73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distributed"/>
    </xf>
    <xf numFmtId="0" fontId="38" fillId="0" borderId="28" xfId="0" applyFont="1" applyFill="1" applyBorder="1" applyAlignment="1">
      <alignment horizontal="center" vertical="distributed"/>
    </xf>
    <xf numFmtId="49" fontId="38" fillId="0" borderId="30" xfId="73" applyNumberFormat="1" applyFont="1" applyFill="1" applyBorder="1" applyAlignment="1">
      <alignment horizontal="center" vertical="center" wrapText="1"/>
    </xf>
    <xf numFmtId="49" fontId="38" fillId="0" borderId="30" xfId="73" applyNumberFormat="1" applyFont="1" applyFill="1" applyBorder="1" applyAlignment="1">
      <alignment horizontal="center" vertical="center"/>
    </xf>
    <xf numFmtId="0" fontId="3" fillId="0" borderId="30" xfId="0" applyFont="1" applyFill="1" applyBorder="1"/>
    <xf numFmtId="49" fontId="3" fillId="23" borderId="30" xfId="73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distributed"/>
    </xf>
    <xf numFmtId="49" fontId="3" fillId="23" borderId="28" xfId="0" applyNumberFormat="1" applyFont="1" applyFill="1" applyBorder="1" applyAlignment="1">
      <alignment horizontal="center" vertical="distributed"/>
    </xf>
    <xf numFmtId="0" fontId="3" fillId="22" borderId="41" xfId="0" applyFont="1" applyFill="1" applyBorder="1" applyAlignment="1">
      <alignment horizontal="center" vertical="distributed"/>
    </xf>
    <xf numFmtId="0" fontId="3" fillId="22" borderId="40" xfId="0" applyFont="1" applyFill="1" applyBorder="1" applyAlignment="1">
      <alignment horizontal="center" vertical="distributed"/>
    </xf>
    <xf numFmtId="0" fontId="3" fillId="22" borderId="40" xfId="0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right" vertical="distributed"/>
    </xf>
    <xf numFmtId="0" fontId="5" fillId="22" borderId="40" xfId="0" applyFont="1" applyFill="1" applyBorder="1" applyAlignment="1">
      <alignment horizontal="center" vertical="distributed"/>
    </xf>
    <xf numFmtId="4" fontId="1" fillId="0" borderId="29" xfId="0" applyNumberFormat="1" applyFont="1" applyFill="1" applyBorder="1" applyAlignment="1">
      <alignment horizontal="right" vertical="distributed"/>
    </xf>
    <xf numFmtId="4" fontId="6" fillId="0" borderId="29" xfId="0" applyNumberFormat="1" applyFont="1" applyFill="1" applyBorder="1" applyAlignment="1">
      <alignment horizontal="right" vertical="distributed"/>
    </xf>
    <xf numFmtId="4" fontId="7" fillId="0" borderId="29" xfId="0" applyNumberFormat="1" applyFont="1" applyFill="1" applyBorder="1" applyAlignment="1">
      <alignment horizontal="right" vertical="distributed"/>
    </xf>
    <xf numFmtId="4" fontId="3" fillId="23" borderId="29" xfId="73" applyNumberFormat="1" applyFont="1" applyFill="1" applyBorder="1" applyAlignment="1">
      <alignment horizontal="right" vertical="distributed"/>
    </xf>
    <xf numFmtId="0" fontId="3" fillId="22" borderId="40" xfId="0" applyFont="1" applyFill="1" applyBorder="1" applyAlignment="1">
      <alignment horizontal="center"/>
    </xf>
    <xf numFmtId="166" fontId="5" fillId="0" borderId="29" xfId="0" applyNumberFormat="1" applyFont="1" applyFill="1" applyBorder="1" applyAlignment="1">
      <alignment horizontal="right" vertical="distributed"/>
    </xf>
    <xf numFmtId="0" fontId="1" fillId="0" borderId="41" xfId="0" applyFont="1" applyFill="1" applyBorder="1"/>
    <xf numFmtId="49" fontId="5" fillId="0" borderId="40" xfId="0" applyNumberFormat="1" applyFont="1" applyFill="1" applyBorder="1" applyAlignment="1">
      <alignment horizontal="center" vertical="distributed"/>
    </xf>
    <xf numFmtId="49" fontId="5" fillId="0" borderId="41" xfId="0" applyNumberFormat="1" applyFont="1" applyFill="1" applyBorder="1" applyAlignment="1">
      <alignment horizontal="center" vertical="distributed"/>
    </xf>
    <xf numFmtId="0" fontId="3" fillId="0" borderId="40" xfId="0" applyFont="1" applyFill="1" applyBorder="1" applyAlignment="1">
      <alignment horizontal="center" vertical="center"/>
    </xf>
    <xf numFmtId="4" fontId="39" fillId="0" borderId="43" xfId="0" applyNumberFormat="1" applyFont="1" applyFill="1" applyBorder="1" applyAlignment="1">
      <alignment horizontal="right" vertical="distributed"/>
    </xf>
    <xf numFmtId="4" fontId="39" fillId="0" borderId="50" xfId="0" applyNumberFormat="1" applyFont="1" applyFill="1" applyBorder="1" applyAlignment="1">
      <alignment horizontal="right" vertical="distributed"/>
    </xf>
    <xf numFmtId="4" fontId="39" fillId="0" borderId="40" xfId="0" applyNumberFormat="1" applyFont="1" applyFill="1" applyBorder="1" applyAlignment="1">
      <alignment horizontal="right" vertical="distributed"/>
    </xf>
    <xf numFmtId="49" fontId="5" fillId="0" borderId="38" xfId="0" applyNumberFormat="1" applyFont="1" applyFill="1" applyBorder="1" applyAlignment="1">
      <alignment horizontal="center" vertical="distributed"/>
    </xf>
    <xf numFmtId="49" fontId="6" fillId="0" borderId="37" xfId="0" applyNumberFormat="1" applyFont="1" applyFill="1" applyBorder="1" applyAlignment="1">
      <alignment horizontal="center" vertical="center"/>
    </xf>
    <xf numFmtId="0" fontId="3" fillId="0" borderId="32" xfId="73" applyFont="1" applyFill="1" applyBorder="1" applyAlignment="1">
      <alignment horizontal="left" vertical="center" wrapText="1"/>
    </xf>
    <xf numFmtId="49" fontId="5" fillId="0" borderId="28" xfId="73" applyNumberFormat="1" applyFont="1" applyFill="1" applyBorder="1" applyAlignment="1">
      <alignment horizontal="center" vertical="distributed"/>
    </xf>
    <xf numFmtId="4" fontId="3" fillId="0" borderId="36" xfId="73" applyNumberFormat="1" applyFont="1" applyFill="1" applyBorder="1" applyAlignment="1">
      <alignment horizontal="right" vertical="distributed"/>
    </xf>
    <xf numFmtId="164" fontId="5" fillId="0" borderId="0" xfId="0" applyNumberFormat="1" applyFont="1" applyFill="1" applyBorder="1" applyAlignment="1">
      <alignment horizontal="right" vertical="distributed"/>
    </xf>
    <xf numFmtId="49" fontId="1" fillId="0" borderId="39" xfId="0" applyNumberFormat="1" applyFont="1" applyFill="1" applyBorder="1" applyAlignment="1">
      <alignment horizontal="center" vertical="distributed"/>
    </xf>
    <xf numFmtId="4" fontId="5" fillId="0" borderId="49" xfId="0" applyNumberFormat="1" applyFont="1" applyFill="1" applyBorder="1" applyAlignment="1">
      <alignment horizontal="right" vertical="distributed"/>
    </xf>
    <xf numFmtId="166" fontId="5" fillId="0" borderId="32" xfId="0" applyNumberFormat="1" applyFont="1" applyFill="1" applyBorder="1" applyAlignment="1">
      <alignment horizontal="right" vertical="distributed"/>
    </xf>
    <xf numFmtId="0" fontId="3" fillId="0" borderId="27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distributed"/>
    </xf>
    <xf numFmtId="0" fontId="47" fillId="0" borderId="0" xfId="0" applyFont="1" applyBorder="1"/>
    <xf numFmtId="4" fontId="47" fillId="0" borderId="0" xfId="0" applyNumberFormat="1" applyFont="1" applyBorder="1"/>
    <xf numFmtId="0" fontId="45" fillId="0" borderId="0" xfId="0" applyFont="1" applyFill="1" applyBorder="1" applyAlignment="1">
      <alignment horizontal="center" vertical="center" wrapText="1"/>
    </xf>
    <xf numFmtId="2" fontId="47" fillId="0" borderId="0" xfId="0" applyNumberFormat="1" applyFont="1" applyBorder="1"/>
    <xf numFmtId="0" fontId="47" fillId="0" borderId="0" xfId="0" applyFont="1" applyFill="1" applyBorder="1" applyAlignment="1">
      <alignment horizontal="center" vertical="center"/>
    </xf>
    <xf numFmtId="0" fontId="47" fillId="23" borderId="0" xfId="0" applyFont="1" applyFill="1" applyBorder="1" applyAlignment="1">
      <alignment horizontal="center" vertical="distributed"/>
    </xf>
    <xf numFmtId="0" fontId="47" fillId="22" borderId="0" xfId="0" applyFont="1" applyFill="1" applyBorder="1" applyAlignment="1">
      <alignment horizontal="center" vertical="center"/>
    </xf>
    <xf numFmtId="168" fontId="7" fillId="0" borderId="51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wrapText="1"/>
    </xf>
    <xf numFmtId="168" fontId="1" fillId="0" borderId="23" xfId="0" applyNumberFormat="1" applyFont="1" applyFill="1" applyBorder="1" applyAlignment="1">
      <alignment horizontal="center" vertical="center"/>
    </xf>
    <xf numFmtId="168" fontId="6" fillId="0" borderId="23" xfId="0" applyNumberFormat="1" applyFont="1" applyFill="1" applyBorder="1" applyAlignment="1">
      <alignment horizontal="center" vertical="center"/>
    </xf>
    <xf numFmtId="4" fontId="1" fillId="0" borderId="32" xfId="73" applyNumberFormat="1" applyFont="1" applyFill="1" applyBorder="1" applyAlignment="1">
      <alignment vertical="center"/>
    </xf>
    <xf numFmtId="4" fontId="1" fillId="0" borderId="34" xfId="73" applyNumberFormat="1" applyFont="1" applyFill="1" applyBorder="1" applyAlignment="1">
      <alignment vertical="center"/>
    </xf>
    <xf numFmtId="168" fontId="1" fillId="0" borderId="15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right" vertical="distributed"/>
    </xf>
    <xf numFmtId="0" fontId="3" fillId="0" borderId="29" xfId="73" applyNumberFormat="1" applyFont="1" applyFill="1" applyBorder="1" applyAlignment="1">
      <alignment horizontal="left" vertical="center" wrapText="1"/>
    </xf>
    <xf numFmtId="0" fontId="1" fillId="0" borderId="29" xfId="73" applyNumberFormat="1" applyFont="1" applyFill="1" applyBorder="1" applyAlignment="1">
      <alignment horizontal="left" vertical="center" wrapText="1"/>
    </xf>
    <xf numFmtId="0" fontId="41" fillId="0" borderId="38" xfId="73" applyNumberFormat="1" applyFont="1" applyFill="1" applyBorder="1" applyAlignment="1">
      <alignment horizontal="left" vertical="center" wrapText="1"/>
    </xf>
    <xf numFmtId="0" fontId="41" fillId="0" borderId="38" xfId="73" applyFont="1" applyFill="1" applyBorder="1" applyAlignment="1">
      <alignment wrapText="1"/>
    </xf>
    <xf numFmtId="0" fontId="41" fillId="0" borderId="29" xfId="73" applyFont="1" applyFill="1" applyBorder="1" applyAlignment="1">
      <alignment horizontal="left" vertical="center" wrapText="1"/>
    </xf>
    <xf numFmtId="0" fontId="2" fillId="0" borderId="29" xfId="75" applyFont="1" applyFill="1" applyBorder="1" applyAlignment="1">
      <alignment vertical="top" wrapText="1"/>
    </xf>
    <xf numFmtId="0" fontId="41" fillId="0" borderId="28" xfId="0" applyFont="1" applyFill="1" applyBorder="1" applyAlignment="1">
      <alignment wrapText="1"/>
    </xf>
    <xf numFmtId="4" fontId="1" fillId="0" borderId="28" xfId="0" applyNumberFormat="1" applyFont="1" applyFill="1" applyBorder="1" applyAlignment="1">
      <alignment horizontal="right" vertical="distributed"/>
    </xf>
    <xf numFmtId="4" fontId="6" fillId="0" borderId="28" xfId="0" applyNumberFormat="1" applyFont="1" applyFill="1" applyBorder="1" applyAlignment="1">
      <alignment horizontal="right" vertical="distributed"/>
    </xf>
    <xf numFmtId="4" fontId="5" fillId="0" borderId="28" xfId="0" applyNumberFormat="1" applyFont="1" applyFill="1" applyBorder="1" applyAlignment="1">
      <alignment horizontal="right" vertical="distributed"/>
    </xf>
    <xf numFmtId="4" fontId="38" fillId="0" borderId="28" xfId="73" applyNumberFormat="1" applyFont="1" applyFill="1" applyBorder="1" applyAlignment="1">
      <alignment horizontal="right" vertical="distributed"/>
    </xf>
    <xf numFmtId="4" fontId="2" fillId="0" borderId="28" xfId="0" applyNumberFormat="1" applyFont="1" applyFill="1" applyBorder="1" applyAlignment="1">
      <alignment horizontal="right" vertical="distributed"/>
    </xf>
    <xf numFmtId="4" fontId="7" fillId="0" borderId="28" xfId="0" applyNumberFormat="1" applyFont="1" applyFill="1" applyBorder="1" applyAlignment="1">
      <alignment horizontal="right" vertical="distributed"/>
    </xf>
    <xf numFmtId="4" fontId="2" fillId="0" borderId="31" xfId="0" applyNumberFormat="1" applyFont="1" applyFill="1" applyBorder="1" applyAlignment="1">
      <alignment horizontal="right" vertical="distributed"/>
    </xf>
    <xf numFmtId="4" fontId="1" fillId="0" borderId="28" xfId="73" applyNumberFormat="1" applyFont="1" applyFill="1" applyBorder="1" applyAlignment="1">
      <alignment horizontal="right" vertical="distributed"/>
    </xf>
    <xf numFmtId="4" fontId="1" fillId="0" borderId="30" xfId="0" applyNumberFormat="1" applyFont="1" applyFill="1" applyBorder="1" applyAlignment="1">
      <alignment horizontal="right" vertical="distributed"/>
    </xf>
    <xf numFmtId="4" fontId="6" fillId="0" borderId="30" xfId="0" applyNumberFormat="1" applyFont="1" applyFill="1" applyBorder="1" applyAlignment="1">
      <alignment horizontal="right" vertical="distributed"/>
    </xf>
    <xf numFmtId="4" fontId="38" fillId="0" borderId="30" xfId="73" applyNumberFormat="1" applyFont="1" applyFill="1" applyBorder="1" applyAlignment="1">
      <alignment horizontal="right" vertical="distributed"/>
    </xf>
    <xf numFmtId="4" fontId="2" fillId="0" borderId="30" xfId="0" applyNumberFormat="1" applyFont="1" applyFill="1" applyBorder="1" applyAlignment="1">
      <alignment horizontal="right" vertical="distributed"/>
    </xf>
    <xf numFmtId="4" fontId="7" fillId="0" borderId="30" xfId="0" applyNumberFormat="1" applyFont="1" applyFill="1" applyBorder="1" applyAlignment="1">
      <alignment horizontal="right" vertical="distributed"/>
    </xf>
    <xf numFmtId="4" fontId="2" fillId="0" borderId="34" xfId="0" applyNumberFormat="1" applyFont="1" applyFill="1" applyBorder="1" applyAlignment="1">
      <alignment horizontal="right" vertical="distributed"/>
    </xf>
    <xf numFmtId="0" fontId="3" fillId="0" borderId="29" xfId="0" applyFont="1" applyFill="1" applyBorder="1"/>
    <xf numFmtId="165" fontId="3" fillId="0" borderId="0" xfId="73" applyNumberFormat="1" applyFont="1" applyFill="1"/>
    <xf numFmtId="2" fontId="3" fillId="0" borderId="0" xfId="0" applyNumberFormat="1" applyFont="1" applyBorder="1"/>
    <xf numFmtId="0" fontId="5" fillId="0" borderId="2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distributed"/>
    </xf>
    <xf numFmtId="0" fontId="3" fillId="23" borderId="0" xfId="0" applyFont="1" applyFill="1" applyAlignment="1">
      <alignment horizontal="center" vertical="distributed"/>
    </xf>
    <xf numFmtId="4" fontId="3" fillId="0" borderId="38" xfId="73" applyNumberFormat="1" applyFont="1" applyFill="1" applyBorder="1" applyAlignment="1">
      <alignment horizontal="right" vertical="distributed"/>
    </xf>
    <xf numFmtId="166" fontId="5" fillId="0" borderId="28" xfId="0" applyNumberFormat="1" applyFont="1" applyFill="1" applyBorder="1" applyAlignment="1">
      <alignment horizontal="right" vertical="distributed"/>
    </xf>
    <xf numFmtId="4" fontId="39" fillId="0" borderId="41" xfId="0" applyNumberFormat="1" applyFont="1" applyFill="1" applyBorder="1" applyAlignment="1">
      <alignment horizontal="right" vertical="distributed"/>
    </xf>
    <xf numFmtId="0" fontId="3" fillId="22" borderId="42" xfId="0" applyFont="1" applyFill="1" applyBorder="1" applyAlignment="1">
      <alignment horizontal="center"/>
    </xf>
    <xf numFmtId="4" fontId="39" fillId="0" borderId="42" xfId="0" applyNumberFormat="1" applyFont="1" applyFill="1" applyBorder="1" applyAlignment="1">
      <alignment horizontal="right" vertical="distributed"/>
    </xf>
    <xf numFmtId="0" fontId="41" fillId="0" borderId="29" xfId="0" applyFont="1" applyFill="1" applyBorder="1" applyAlignment="1">
      <alignment horizontal="left" vertical="center" wrapText="1"/>
    </xf>
    <xf numFmtId="0" fontId="41" fillId="0" borderId="29" xfId="73" applyNumberFormat="1" applyFont="1" applyFill="1" applyBorder="1" applyAlignment="1">
      <alignment horizontal="left" vertical="center" wrapText="1"/>
    </xf>
    <xf numFmtId="4" fontId="3" fillId="0" borderId="49" xfId="73" applyNumberFormat="1" applyFont="1" applyFill="1" applyBorder="1" applyAlignment="1">
      <alignment horizontal="right" vertical="distributed"/>
    </xf>
    <xf numFmtId="0" fontId="3" fillId="0" borderId="29" xfId="0" applyFont="1" applyFill="1" applyBorder="1" applyAlignment="1">
      <alignment horizontal="center" vertical="distributed"/>
    </xf>
    <xf numFmtId="0" fontId="3" fillId="0" borderId="52" xfId="73" applyFont="1" applyFill="1" applyBorder="1" applyAlignment="1">
      <alignment horizontal="left" vertical="center" wrapText="1"/>
    </xf>
    <xf numFmtId="0" fontId="3" fillId="0" borderId="30" xfId="73" applyFont="1" applyFill="1" applyBorder="1" applyAlignment="1">
      <alignment horizontal="left" vertical="center" wrapText="1"/>
    </xf>
    <xf numFmtId="4" fontId="3" fillId="0" borderId="22" xfId="73" applyNumberFormat="1" applyFont="1" applyFill="1" applyBorder="1" applyAlignment="1">
      <alignment horizontal="right" vertical="distributed"/>
    </xf>
    <xf numFmtId="0" fontId="1" fillId="0" borderId="29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left" wrapText="1"/>
    </xf>
    <xf numFmtId="49" fontId="38" fillId="0" borderId="29" xfId="0" applyNumberFormat="1" applyFont="1" applyFill="1" applyBorder="1" applyAlignment="1">
      <alignment horizontal="center" vertical="center"/>
    </xf>
    <xf numFmtId="4" fontId="3" fillId="0" borderId="52" xfId="73" applyNumberFormat="1" applyFont="1" applyFill="1" applyBorder="1" applyAlignment="1">
      <alignment horizontal="right" vertical="distributed"/>
    </xf>
    <xf numFmtId="0" fontId="3" fillId="0" borderId="27" xfId="73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wrapText="1"/>
    </xf>
    <xf numFmtId="0" fontId="3" fillId="0" borderId="0" xfId="73" applyFont="1" applyFill="1" applyBorder="1" applyAlignment="1">
      <alignment horizontal="left" vertical="center" wrapText="1"/>
    </xf>
    <xf numFmtId="0" fontId="41" fillId="0" borderId="36" xfId="73" applyFont="1" applyFill="1" applyBorder="1" applyAlignment="1">
      <alignment horizontal="left" vertical="center" wrapText="1"/>
    </xf>
    <xf numFmtId="0" fontId="3" fillId="0" borderId="29" xfId="73" applyFont="1" applyFill="1" applyBorder="1" applyAlignment="1">
      <alignment horizontal="left" vertical="distributed" wrapText="1"/>
    </xf>
    <xf numFmtId="0" fontId="2" fillId="0" borderId="52" xfId="75" applyFont="1" applyFill="1" applyBorder="1" applyAlignment="1">
      <alignment vertical="top" wrapText="1"/>
    </xf>
    <xf numFmtId="0" fontId="3" fillId="0" borderId="52" xfId="0" applyFont="1" applyFill="1" applyBorder="1" applyAlignment="1">
      <alignment horizontal="justify"/>
    </xf>
    <xf numFmtId="0" fontId="3" fillId="0" borderId="52" xfId="0" applyFont="1" applyFill="1" applyBorder="1" applyAlignment="1">
      <alignment wrapText="1"/>
    </xf>
    <xf numFmtId="4" fontId="3" fillId="0" borderId="32" xfId="0" applyNumberFormat="1" applyFont="1" applyFill="1" applyBorder="1" applyAlignment="1">
      <alignment horizontal="right" vertical="distributed"/>
    </xf>
    <xf numFmtId="49" fontId="3" fillId="0" borderId="0" xfId="73" applyNumberFormat="1" applyFont="1" applyFill="1" applyBorder="1" applyAlignment="1">
      <alignment horizontal="center"/>
    </xf>
    <xf numFmtId="49" fontId="3" fillId="0" borderId="30" xfId="73" applyNumberFormat="1" applyFont="1" applyFill="1" applyBorder="1" applyAlignment="1">
      <alignment horizontal="center"/>
    </xf>
    <xf numFmtId="4" fontId="3" fillId="0" borderId="49" xfId="0" applyNumberFormat="1" applyFont="1" applyFill="1" applyBorder="1" applyAlignment="1">
      <alignment horizontal="right" vertical="distributed"/>
    </xf>
    <xf numFmtId="0" fontId="41" fillId="0" borderId="27" xfId="73" applyFont="1" applyFill="1" applyBorder="1" applyAlignment="1">
      <alignment horizontal="left" vertical="center" wrapText="1"/>
    </xf>
    <xf numFmtId="49" fontId="1" fillId="0" borderId="36" xfId="0" applyNumberFormat="1" applyFont="1" applyFill="1" applyBorder="1" applyAlignment="1">
      <alignment horizontal="center" vertical="center"/>
    </xf>
    <xf numFmtId="4" fontId="1" fillId="0" borderId="30" xfId="73" applyNumberFormat="1" applyFont="1" applyFill="1" applyBorder="1" applyAlignment="1">
      <alignment horizontal="right" vertical="distributed"/>
    </xf>
    <xf numFmtId="0" fontId="3" fillId="0" borderId="34" xfId="73" applyFont="1" applyFill="1" applyBorder="1" applyAlignment="1">
      <alignment horizontal="left" vertical="center" wrapText="1"/>
    </xf>
    <xf numFmtId="49" fontId="5" fillId="0" borderId="5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68" fontId="3" fillId="0" borderId="22" xfId="0" applyNumberFormat="1" applyFont="1" applyFill="1" applyBorder="1" applyAlignment="1">
      <alignment horizontal="center" vertical="center"/>
    </xf>
    <xf numFmtId="0" fontId="34" fillId="23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vertical="distributed"/>
    </xf>
    <xf numFmtId="0" fontId="47" fillId="0" borderId="0" xfId="0" applyFont="1" applyFill="1" applyBorder="1" applyAlignment="1">
      <alignment horizontal="center" vertical="distributed" wrapText="1"/>
    </xf>
    <xf numFmtId="49" fontId="9" fillId="0" borderId="40" xfId="73" applyNumberFormat="1" applyFont="1" applyFill="1" applyBorder="1" applyAlignment="1">
      <alignment horizontal="center" vertical="center" wrapText="1"/>
    </xf>
    <xf numFmtId="49" fontId="3" fillId="0" borderId="38" xfId="73" applyNumberFormat="1" applyFont="1" applyFill="1" applyBorder="1" applyAlignment="1">
      <alignment horizontal="center" vertical="center" wrapText="1"/>
    </xf>
    <xf numFmtId="49" fontId="3" fillId="0" borderId="39" xfId="73" applyNumberFormat="1" applyFont="1" applyFill="1" applyBorder="1" applyAlignment="1">
      <alignment horizontal="center" vertical="center" wrapText="1"/>
    </xf>
    <xf numFmtId="49" fontId="3" fillId="0" borderId="37" xfId="73" applyNumberFormat="1" applyFont="1" applyFill="1" applyBorder="1" applyAlignment="1">
      <alignment horizontal="center" vertical="center" wrapText="1"/>
    </xf>
    <xf numFmtId="0" fontId="3" fillId="0" borderId="41" xfId="73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distributed"/>
    </xf>
    <xf numFmtId="0" fontId="3" fillId="0" borderId="43" xfId="73" applyFont="1" applyFill="1" applyBorder="1" applyAlignment="1">
      <alignment horizontal="center" vertical="center"/>
    </xf>
    <xf numFmtId="0" fontId="11" fillId="0" borderId="43" xfId="73" applyFont="1" applyFill="1" applyBorder="1" applyAlignment="1">
      <alignment horizontal="center" vertical="center"/>
    </xf>
    <xf numFmtId="4" fontId="5" fillId="0" borderId="33" xfId="0" applyNumberFormat="1" applyFont="1" applyFill="1" applyBorder="1" applyAlignment="1">
      <alignment horizontal="right" vertical="distributed"/>
    </xf>
    <xf numFmtId="4" fontId="1" fillId="0" borderId="33" xfId="73" applyNumberFormat="1" applyFont="1" applyFill="1" applyBorder="1" applyAlignment="1">
      <alignment vertical="center"/>
    </xf>
    <xf numFmtId="4" fontId="1" fillId="0" borderId="43" xfId="73" applyNumberFormat="1" applyFont="1" applyFill="1" applyBorder="1" applyAlignment="1">
      <alignment vertical="center"/>
    </xf>
    <xf numFmtId="164" fontId="5" fillId="0" borderId="28" xfId="0" applyNumberFormat="1" applyFont="1" applyFill="1" applyBorder="1" applyAlignment="1">
      <alignment horizontal="right" vertical="distributed"/>
    </xf>
    <xf numFmtId="4" fontId="3" fillId="0" borderId="37" xfId="73" applyNumberFormat="1" applyFont="1" applyFill="1" applyBorder="1" applyAlignment="1">
      <alignment horizontal="right" vertical="distributed"/>
    </xf>
    <xf numFmtId="166" fontId="5" fillId="0" borderId="30" xfId="0" applyNumberFormat="1" applyFont="1" applyFill="1" applyBorder="1" applyAlignment="1">
      <alignment horizontal="right" vertical="distributed"/>
    </xf>
    <xf numFmtId="0" fontId="34" fillId="23" borderId="0" xfId="0" applyFont="1" applyFill="1" applyBorder="1" applyAlignment="1">
      <alignment horizontal="center" wrapText="1"/>
    </xf>
    <xf numFmtId="0" fontId="34" fillId="23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48" fillId="23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4" fontId="1" fillId="23" borderId="38" xfId="73" applyNumberFormat="1" applyFont="1" applyFill="1" applyBorder="1" applyAlignment="1">
      <alignment horizontal="right" vertical="distributed"/>
    </xf>
    <xf numFmtId="4" fontId="1" fillId="23" borderId="31" xfId="73" applyNumberFormat="1" applyFont="1" applyFill="1" applyBorder="1" applyAlignment="1">
      <alignment horizontal="right" vertical="distributed"/>
    </xf>
    <xf numFmtId="0" fontId="36" fillId="22" borderId="32" xfId="0" applyFont="1" applyFill="1" applyBorder="1" applyAlignment="1">
      <alignment horizontal="center" vertical="center"/>
    </xf>
    <xf numFmtId="0" fontId="36" fillId="22" borderId="40" xfId="0" applyFont="1" applyFill="1" applyBorder="1" applyAlignment="1">
      <alignment horizontal="center" vertical="center"/>
    </xf>
    <xf numFmtId="0" fontId="36" fillId="22" borderId="36" xfId="0" applyFont="1" applyFill="1" applyBorder="1" applyAlignment="1">
      <alignment horizontal="center" vertical="center"/>
    </xf>
    <xf numFmtId="4" fontId="1" fillId="23" borderId="36" xfId="73" applyNumberFormat="1" applyFont="1" applyFill="1" applyBorder="1" applyAlignment="1">
      <alignment horizontal="right" vertical="distributed"/>
    </xf>
    <xf numFmtId="4" fontId="1" fillId="23" borderId="32" xfId="73" applyNumberFormat="1" applyFont="1" applyFill="1" applyBorder="1" applyAlignment="1">
      <alignment horizontal="right" vertical="distributed"/>
    </xf>
    <xf numFmtId="0" fontId="2" fillId="0" borderId="29" xfId="0" applyFont="1" applyFill="1" applyBorder="1" applyAlignment="1">
      <alignment horizontal="center" vertical="center" wrapText="1"/>
    </xf>
    <xf numFmtId="0" fontId="36" fillId="22" borderId="34" xfId="0" applyFont="1" applyFill="1" applyBorder="1" applyAlignment="1">
      <alignment horizontal="center" vertical="center"/>
    </xf>
    <xf numFmtId="0" fontId="36" fillId="22" borderId="42" xfId="0" applyFont="1" applyFill="1" applyBorder="1" applyAlignment="1">
      <alignment horizontal="center" vertical="center"/>
    </xf>
    <xf numFmtId="0" fontId="36" fillId="22" borderId="37" xfId="0" applyFont="1" applyFill="1" applyBorder="1" applyAlignment="1">
      <alignment horizontal="center" vertical="center"/>
    </xf>
    <xf numFmtId="4" fontId="1" fillId="23" borderId="37" xfId="73" applyNumberFormat="1" applyFont="1" applyFill="1" applyBorder="1" applyAlignment="1">
      <alignment horizontal="right" vertical="distributed"/>
    </xf>
    <xf numFmtId="4" fontId="1" fillId="23" borderId="34" xfId="73" applyNumberFormat="1" applyFont="1" applyFill="1" applyBorder="1" applyAlignment="1">
      <alignment horizontal="right" vertical="distributed"/>
    </xf>
    <xf numFmtId="0" fontId="47" fillId="0" borderId="0" xfId="0" applyFont="1" applyFill="1" applyBorder="1" applyAlignment="1">
      <alignment horizontal="center" vertical="distributed"/>
    </xf>
    <xf numFmtId="0" fontId="36" fillId="22" borderId="36" xfId="0" applyFont="1" applyFill="1" applyBorder="1" applyAlignment="1">
      <alignment horizontal="center" vertical="center" wrapText="1"/>
    </xf>
    <xf numFmtId="0" fontId="36" fillId="22" borderId="29" xfId="0" applyFont="1" applyFill="1" applyBorder="1" applyAlignment="1">
      <alignment horizontal="center" vertical="center" wrapText="1"/>
    </xf>
    <xf numFmtId="0" fontId="36" fillId="22" borderId="32" xfId="0" applyFont="1" applyFill="1" applyBorder="1" applyAlignment="1">
      <alignment horizontal="center" vertical="center" wrapText="1"/>
    </xf>
    <xf numFmtId="0" fontId="36" fillId="22" borderId="39" xfId="0" applyFont="1" applyFill="1" applyBorder="1" applyAlignment="1">
      <alignment horizontal="center" vertical="center" wrapText="1"/>
    </xf>
    <xf numFmtId="0" fontId="36" fillId="22" borderId="0" xfId="0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distributed"/>
    </xf>
    <xf numFmtId="0" fontId="47" fillId="0" borderId="0" xfId="0" applyFont="1" applyBorder="1" applyAlignment="1">
      <alignment horizontal="center" wrapText="1"/>
    </xf>
    <xf numFmtId="0" fontId="35" fillId="0" borderId="0" xfId="0" applyFont="1" applyFill="1" applyBorder="1" applyAlignment="1">
      <alignment horizontal="center" vertical="distributed"/>
    </xf>
    <xf numFmtId="0" fontId="35" fillId="0" borderId="0" xfId="0" applyFont="1" applyFill="1" applyBorder="1" applyAlignment="1">
      <alignment horizontal="left" vertical="distributed"/>
    </xf>
    <xf numFmtId="0" fontId="47" fillId="0" borderId="0" xfId="0" applyFont="1" applyFill="1" applyBorder="1" applyAlignment="1">
      <alignment horizontal="center" vertical="distributed" wrapText="1"/>
    </xf>
    <xf numFmtId="0" fontId="3" fillId="22" borderId="43" xfId="0" applyFont="1" applyFill="1" applyBorder="1" applyAlignment="1">
      <alignment horizontal="center" vertical="distributed"/>
    </xf>
    <xf numFmtId="0" fontId="2" fillId="0" borderId="3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49" fillId="23" borderId="0" xfId="0" applyFont="1" applyFill="1" applyBorder="1" applyAlignment="1">
      <alignment horizontal="center" wrapText="1"/>
    </xf>
    <xf numFmtId="0" fontId="36" fillId="22" borderId="31" xfId="0" applyFont="1" applyFill="1" applyBorder="1" applyAlignment="1">
      <alignment horizontal="center" vertical="center"/>
    </xf>
    <xf numFmtId="0" fontId="36" fillId="22" borderId="41" xfId="0" applyFont="1" applyFill="1" applyBorder="1" applyAlignment="1">
      <alignment horizontal="center" vertical="center"/>
    </xf>
    <xf numFmtId="0" fontId="36" fillId="22" borderId="38" xfId="0" applyFont="1" applyFill="1" applyBorder="1" applyAlignment="1">
      <alignment horizontal="center" vertical="center"/>
    </xf>
    <xf numFmtId="0" fontId="36" fillId="22" borderId="38" xfId="0" applyFont="1" applyFill="1" applyBorder="1" applyAlignment="1">
      <alignment horizontal="center" vertical="center" wrapText="1"/>
    </xf>
    <xf numFmtId="0" fontId="36" fillId="22" borderId="28" xfId="0" applyFont="1" applyFill="1" applyBorder="1" applyAlignment="1">
      <alignment horizontal="center" vertical="center" wrapText="1"/>
    </xf>
    <xf numFmtId="0" fontId="3" fillId="23" borderId="0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center" vertical="center" wrapText="1"/>
    </xf>
    <xf numFmtId="0" fontId="49" fillId="23" borderId="0" xfId="73" applyFont="1" applyFill="1" applyAlignment="1">
      <alignment horizontal="center" vertical="center" wrapText="1"/>
    </xf>
    <xf numFmtId="0" fontId="3" fillId="0" borderId="41" xfId="73" applyFont="1" applyFill="1" applyBorder="1" applyAlignment="1">
      <alignment horizontal="center" vertical="center" wrapText="1"/>
    </xf>
    <xf numFmtId="0" fontId="3" fillId="0" borderId="43" xfId="73" applyFont="1" applyFill="1" applyBorder="1" applyAlignment="1">
      <alignment horizontal="center" vertical="center" wrapText="1"/>
    </xf>
    <xf numFmtId="0" fontId="3" fillId="0" borderId="42" xfId="73" applyFont="1" applyFill="1" applyBorder="1" applyAlignment="1">
      <alignment horizontal="center" vertical="center" wrapText="1"/>
    </xf>
    <xf numFmtId="49" fontId="35" fillId="0" borderId="41" xfId="73" applyNumberFormat="1" applyFont="1" applyFill="1" applyBorder="1" applyAlignment="1">
      <alignment horizontal="center" vertical="center"/>
    </xf>
    <xf numFmtId="49" fontId="35" fillId="0" borderId="43" xfId="73" applyNumberFormat="1" applyFont="1" applyFill="1" applyBorder="1" applyAlignment="1">
      <alignment horizontal="center" vertical="center"/>
    </xf>
    <xf numFmtId="49" fontId="9" fillId="0" borderId="40" xfId="73" applyNumberFormat="1" applyFont="1" applyFill="1" applyBorder="1" applyAlignment="1">
      <alignment horizontal="center" vertical="center" wrapText="1"/>
    </xf>
    <xf numFmtId="49" fontId="3" fillId="0" borderId="38" xfId="73" applyNumberFormat="1" applyFont="1" applyFill="1" applyBorder="1" applyAlignment="1">
      <alignment horizontal="center" vertical="center" wrapText="1"/>
    </xf>
    <xf numFmtId="49" fontId="3" fillId="0" borderId="39" xfId="73" applyNumberFormat="1" applyFont="1" applyFill="1" applyBorder="1" applyAlignment="1">
      <alignment horizontal="center" vertical="center" wrapText="1"/>
    </xf>
    <xf numFmtId="49" fontId="3" fillId="0" borderId="37" xfId="73" applyNumberFormat="1" applyFont="1" applyFill="1" applyBorder="1" applyAlignment="1">
      <alignment horizontal="center" vertical="center" wrapText="1"/>
    </xf>
    <xf numFmtId="49" fontId="3" fillId="0" borderId="31" xfId="73" applyNumberFormat="1" applyFont="1" applyFill="1" applyBorder="1" applyAlignment="1">
      <alignment horizontal="center" vertical="center" wrapText="1"/>
    </xf>
    <xf numFmtId="49" fontId="3" fillId="0" borderId="33" xfId="73" applyNumberFormat="1" applyFont="1" applyFill="1" applyBorder="1" applyAlignment="1">
      <alignment horizontal="center" vertical="center" wrapText="1"/>
    </xf>
    <xf numFmtId="49" fontId="3" fillId="0" borderId="34" xfId="73" applyNumberFormat="1" applyFont="1" applyFill="1" applyBorder="1" applyAlignment="1">
      <alignment horizontal="center" vertical="center" wrapText="1"/>
    </xf>
    <xf numFmtId="0" fontId="3" fillId="0" borderId="36" xfId="73" applyFont="1" applyFill="1" applyBorder="1" applyAlignment="1">
      <alignment horizontal="center" vertical="center" wrapText="1"/>
    </xf>
    <xf numFmtId="0" fontId="3" fillId="0" borderId="32" xfId="73" applyFont="1" applyFill="1" applyBorder="1" applyAlignment="1">
      <alignment horizontal="center" vertical="center" wrapText="1"/>
    </xf>
  </cellXfs>
  <cellStyles count="7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r" xfId="26"/>
    <cellStyle name="Calculation" xfId="27"/>
    <cellStyle name="Check Cell" xfId="28"/>
    <cellStyle name="co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style0" xfId="41"/>
    <cellStyle name="td" xfId="42"/>
    <cellStyle name="Title" xfId="43"/>
    <cellStyle name="Total" xfId="44"/>
    <cellStyle name="tr" xfId="45"/>
    <cellStyle name="Warning Text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Обычный" xfId="0" builtinId="0"/>
    <cellStyle name="Обычный 2" xfId="73"/>
    <cellStyle name="Обычный 3" xfId="74"/>
    <cellStyle name="Обычный_Ведомственная структура" xfId="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63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429375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63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6429375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6429375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63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6429375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63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6429375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63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6429375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43" name="TextBox 37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15" name="TextBox 44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34" name="TextBox 46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11" name="TextBox 47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84" name="TextBox 47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699" name="TextBox 56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24" name="TextBox 57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789" name="TextBox 57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04" name="TextBox 58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56" name="TextBox 58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59" name="TextBox 58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62" name="TextBox 58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865" name="TextBox 58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868" name="TextBox 58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74" name="TextBox 58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77" name="TextBox 58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79" name="TextBox 58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80" name="TextBox 58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83" name="TextBox 58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86" name="TextBox 58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889" name="TextBox 58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892" name="TextBox 58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95" name="TextBox 58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98" name="TextBox 58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01" name="TextBox 59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02" name="TextBox 59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03" name="TextBox 59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04" name="TextBox 59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07" name="TextBox 59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10" name="TextBox 59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13" name="TextBox 59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919" name="TextBox 59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922" name="TextBox 59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923" name="TextBox 59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24" name="TextBox 59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25" name="TextBox 59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28" name="TextBox 59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30" name="TextBox 59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31" name="TextBox 59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37" name="TextBox 59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43" name="TextBox 59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46" name="TextBox 59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49" name="TextBox 59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52" name="TextBox 59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955" name="TextBox 59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61" name="TextBox 59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64" name="TextBox 59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67" name="TextBox 59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70" name="TextBox 59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73" name="TextBox 59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75" name="TextBox 59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76" name="TextBox 59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79" name="TextBox 59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81" name="TextBox 59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82" name="TextBox 59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85" name="TextBox 59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88" name="TextBox 59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991" name="TextBox 59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994" name="TextBox 59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97" name="TextBox 59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00" name="TextBox 59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03" name="TextBox 60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06" name="TextBox 60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09" name="TextBox 60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12" name="TextBox 60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15" name="TextBox 60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18" name="TextBox 60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21" name="TextBox 60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24" name="TextBox 60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27" name="TextBox 60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30" name="TextBox 60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33" name="TextBox 60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36" name="TextBox 60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037" name="TextBox 60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6038" name="TextBox 60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6039" name="TextBox 60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6041" name="TextBox 60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6042" name="TextBox 60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6043" name="TextBox 60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44" name="TextBox 60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45" name="TextBox 60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48" name="TextBox 60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49" name="TextBox 60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050" name="TextBox 60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051" name="TextBox 60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054" name="TextBox 60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055" name="TextBox 60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056" name="TextBox 60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057" name="TextBox 60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059" name="TextBox 60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060" name="TextBox 60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061" name="TextBox 60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62" name="TextBox 60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63" name="TextBox 60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65" name="TextBox 60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66" name="TextBox 60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67" name="TextBox 60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68" name="TextBox 60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69" name="TextBox 60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71" name="TextBox 60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72" name="TextBox 60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73" name="TextBox 60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074" name="TextBox 60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075" name="TextBox 60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078" name="TextBox 60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079" name="TextBox 60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80" name="TextBox 60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81" name="TextBox 60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82" name="TextBox 60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83" name="TextBox 60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84" name="TextBox 60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85" name="TextBox 60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86" name="TextBox 60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87" name="TextBox 60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89" name="TextBox 60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90" name="TextBox 60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91" name="TextBox 60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92" name="TextBox 60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93" name="TextBox 60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94" name="TextBox 60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95" name="TextBox 60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96" name="TextBox 60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098" name="TextBox 60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099" name="TextBox 60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101" name="TextBox 61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102" name="TextBox 61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103" name="TextBox 61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04" name="TextBox 61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05" name="TextBox 61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06" name="TextBox 61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07" name="TextBox 61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08" name="TextBox 61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09" name="TextBox 61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10" name="TextBox 61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11" name="TextBox 61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12" name="TextBox 61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13" name="TextBox 61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14" name="TextBox 61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16" name="TextBox 61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17" name="TextBox 61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18" name="TextBox 61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19" name="TextBox 61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20" name="TextBox 61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21" name="TextBox 61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22" name="TextBox 61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23" name="TextBox 61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24" name="TextBox 61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25" name="TextBox 61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26" name="TextBox 61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27" name="TextBox 61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128" name="TextBox 61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129" name="TextBox 61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132" name="TextBox 61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35" name="TextBox 61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41" name="TextBox 61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47" name="TextBox 61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50" name="TextBox 61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53" name="TextBox 61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55" name="TextBox 61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56" name="TextBox 61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59" name="TextBox 61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65" name="TextBox 61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68" name="TextBox 61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71" name="TextBox 61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74" name="TextBox 61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77" name="TextBox 61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80" name="TextBox 61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83" name="TextBox 61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86" name="TextBox 61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89" name="TextBox 61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92" name="TextBox 61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95" name="TextBox 61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98" name="TextBox 61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01" name="TextBox 62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04" name="TextBox 62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07" name="TextBox 62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10" name="TextBox 62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13" name="TextBox 62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16" name="TextBox 62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219" name="TextBox 62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222" name="TextBox 62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25" name="TextBox 62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28" name="TextBox 62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34" name="TextBox 62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37" name="TextBox 62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40" name="TextBox 62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43" name="TextBox 62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45" name="TextBox 62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46" name="TextBox 62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49" name="TextBox 62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52" name="TextBox 62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55" name="TextBox 62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58" name="TextBox 62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61" name="TextBox 62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64" name="TextBox 62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67" name="TextBox 62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70" name="TextBox 62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73" name="TextBox 62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76" name="TextBox 62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79" name="TextBox 62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82" name="TextBox 62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85" name="TextBox 62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87" name="TextBox 62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88" name="TextBox 62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91" name="TextBox 62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94" name="TextBox 62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97" name="TextBox 62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299" name="TextBox 62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00" name="TextBox 62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02" name="TextBox 63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03" name="TextBox 63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06" name="TextBox 63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309" name="TextBox 63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312" name="TextBox 63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14" name="TextBox 63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15" name="TextBox 63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18" name="TextBox 63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21" name="TextBox 63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24" name="TextBox 63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27" name="TextBox 63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29" name="TextBox 63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30" name="TextBox 63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33" name="TextBox 63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36" name="TextBox 63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339" name="TextBox 63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342" name="TextBox 63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45" name="TextBox 63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48" name="TextBox 63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51" name="TextBox 63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54" name="TextBox 63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57" name="TextBox 63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60" name="TextBox 63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63" name="TextBox 63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69" name="TextBox 63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72" name="TextBox 63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75" name="TextBox 63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78" name="TextBox 63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381" name="TextBox 63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384" name="TextBox 63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387" name="TextBox 63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390" name="TextBox 63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396" name="TextBox 63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399" name="TextBox 63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402" name="TextBox 64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05" name="TextBox 64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07" name="TextBox 64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08" name="TextBox 64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14" name="TextBox 64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420" name="TextBox 64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23" name="TextBox 64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26" name="TextBox 64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29" name="TextBox 64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32" name="TextBox 64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38" name="TextBox 64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441" name="TextBox 64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444" name="TextBox 64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47" name="TextBox 64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50" name="TextBox 64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53" name="TextBox 64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56" name="TextBox 64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59" name="TextBox 64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62" name="TextBox 64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65" name="TextBox 64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68" name="TextBox 64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471" name="TextBox 64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474" name="TextBox 64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476" name="TextBox 64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477" name="TextBox 64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480" name="TextBox 64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83" name="TextBox 64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89" name="TextBox 64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92" name="TextBox 64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495" name="TextBox 64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497" name="TextBox 64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498" name="TextBox 64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01" name="TextBox 65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507" name="TextBox 65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509" name="TextBox 65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13" name="TextBox 65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16" name="TextBox 65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19" name="TextBox 65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22" name="TextBox 65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25" name="TextBox 65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28" name="TextBox 65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531" name="TextBox 65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534" name="TextBox 65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37" name="TextBox 65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40" name="TextBox 65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43" name="TextBox 65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45" name="TextBox 65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46" name="TextBox 65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49" name="TextBox 65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52" name="TextBox 65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55" name="TextBox 65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58" name="TextBox 65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561" name="TextBox 65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564" name="TextBox 65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67" name="TextBox 65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70" name="TextBox 65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73" name="TextBox 65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76" name="TextBox 65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79" name="TextBox 65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82" name="TextBox 65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85" name="TextBox 65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88" name="TextBox 65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91" name="TextBox 65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94" name="TextBox 65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97" name="TextBox 65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00" name="TextBox 65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603" name="TextBox 66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606" name="TextBox 66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09" name="TextBox 66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12" name="TextBox 66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615" name="TextBox 66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618" name="TextBox 66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621" name="TextBox 66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622" name="TextBox 66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624" name="TextBox 66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27" name="TextBox 66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30" name="TextBox 66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33" name="TextBox 66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36" name="TextBox 66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639" name="TextBox 66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642" name="TextBox 66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45" name="TextBox 66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47" name="TextBox 66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48" name="TextBox 66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51" name="TextBox 66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54" name="TextBox 66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57" name="TextBox 66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60" name="TextBox 66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663" name="TextBox 66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69" name="TextBox 66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72" name="TextBox 66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75" name="TextBox 66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78" name="TextBox 66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81" name="TextBox 66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87" name="TextBox 66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90" name="TextBox 66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693" name="TextBox 66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696" name="TextBox 66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699" name="TextBox 66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02" name="TextBox 67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05" name="TextBox 67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08" name="TextBox 67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11" name="TextBox 67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14" name="TextBox 67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17" name="TextBox 67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20" name="TextBox 67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21" name="TextBox 67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22" name="TextBox 67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23" name="TextBox 67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24" name="TextBox 67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25" name="TextBox 67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26" name="TextBox 67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27" name="TextBox 67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728" name="TextBox 67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729" name="TextBox 67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730" name="TextBox 67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731" name="TextBox 67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732" name="TextBox 67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733" name="TextBox 67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34" name="TextBox 67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35" name="TextBox 67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36" name="TextBox 67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37" name="TextBox 67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38" name="TextBox 67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39" name="TextBox 67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40" name="TextBox 67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41" name="TextBox 67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42" name="TextBox 67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43" name="TextBox 67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44" name="TextBox 67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45" name="TextBox 67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46" name="TextBox 67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47" name="TextBox 67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48" name="TextBox 67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49" name="TextBox 67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50" name="TextBox 67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51" name="TextBox 67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52" name="TextBox 67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53" name="TextBox 67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54" name="TextBox 67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55" name="TextBox 67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56" name="TextBox 67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57" name="TextBox 67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58" name="TextBox 67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59" name="TextBox 67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61" name="TextBox 67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62" name="TextBox 67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63" name="TextBox 67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764" name="TextBox 67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765" name="TextBox 67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767" name="TextBox 67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768" name="TextBox 67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769" name="TextBox 67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70" name="TextBox 67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71" name="TextBox 67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73" name="TextBox 67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74" name="TextBox 67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75" name="TextBox 67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76" name="TextBox 67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77" name="TextBox 67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79" name="TextBox 67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80" name="TextBox 67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81" name="TextBox 67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82" name="TextBox 67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83" name="TextBox 67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85" name="TextBox 67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86" name="TextBox 67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87" name="TextBox 67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88" name="TextBox 67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89" name="TextBox 67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91" name="TextBox 67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92" name="TextBox 67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93" name="TextBox 67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94" name="TextBox 67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95" name="TextBox 67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96" name="TextBox 67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97" name="TextBox 67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98" name="TextBox 67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799" name="TextBox 67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800" name="TextBox 67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801" name="TextBox 68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804" name="TextBox 68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806" name="TextBox 68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807" name="TextBox 68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808" name="TextBox 68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809" name="TextBox 68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810" name="TextBox 68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811" name="TextBox 68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812" name="TextBox 68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813" name="TextBox 68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815" name="TextBox 68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816" name="TextBox 68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6817" name="TextBox 68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18" name="TextBox 68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19" name="TextBox 68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21" name="TextBox 68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22" name="TextBox 68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23" name="TextBox 68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824" name="TextBox 68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825" name="TextBox 68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827" name="TextBox 68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828" name="TextBox 68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829" name="TextBox 68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830" name="TextBox 68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831" name="TextBox 68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833" name="TextBox 68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834" name="TextBox 68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835" name="TextBox 68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36" name="TextBox 68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37" name="TextBox 68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39" name="TextBox 68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40" name="TextBox 68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42" name="TextBox 68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43" name="TextBox 68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45" name="TextBox 68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46" name="TextBox 68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848" name="TextBox 68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849" name="TextBox 68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851" name="TextBox 68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852" name="TextBox 68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853" name="TextBox 68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54" name="TextBox 68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55" name="TextBox 68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57" name="TextBox 68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58" name="TextBox 68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59" name="TextBox 68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60" name="TextBox 68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61" name="TextBox 68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62" name="TextBox 68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63" name="TextBox 68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64" name="TextBox 68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67" name="TextBox 68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69" name="TextBox 68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70" name="TextBox 68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872" name="TextBox 68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873" name="TextBox 68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875" name="TextBox 68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876" name="TextBox 68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877" name="TextBox 68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78" name="TextBox 68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79" name="TextBox 68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80" name="TextBox 68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81" name="TextBox 68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82" name="TextBox 68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83" name="TextBox 68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84" name="TextBox 68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85" name="TextBox 68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87" name="TextBox 68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88" name="TextBox 68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90" name="TextBox 68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91" name="TextBox 68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93" name="TextBox 68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94" name="TextBox 68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96" name="TextBox 68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97" name="TextBox 68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98" name="TextBox 68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899" name="TextBox 68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00" name="TextBox 68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01" name="TextBox 69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902" name="TextBox 69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903" name="TextBox 69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904" name="TextBox 69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905" name="TextBox 69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906" name="TextBox 69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6907" name="TextBox 69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08" name="TextBox 69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09" name="TextBox 69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10" name="TextBox 69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11" name="TextBox 69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12" name="TextBox 69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14" name="TextBox 69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15" name="TextBox 69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16" name="TextBox 69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17" name="TextBox 69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18" name="TextBox 69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19" name="TextBox 69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20" name="TextBox 69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21" name="TextBox 69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22" name="TextBox 69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23" name="TextBox 69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24" name="TextBox 69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25" name="TextBox 69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26" name="TextBox 69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27" name="TextBox 69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28" name="TextBox 69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29" name="TextBox 69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30" name="TextBox 69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31" name="TextBox 69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32" name="TextBox 69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33" name="TextBox 69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34" name="TextBox 69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35" name="TextBox 69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36" name="TextBox 69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38" name="TextBox 69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39" name="TextBox 69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40" name="TextBox 69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41" name="TextBox 69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42" name="TextBox 69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43" name="TextBox 69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44" name="TextBox 69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45" name="TextBox 69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46" name="TextBox 69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47" name="TextBox 69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48" name="TextBox 69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49" name="TextBox 69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50" name="TextBox 69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51" name="TextBox 69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52" name="TextBox 69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53" name="TextBox 69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54" name="TextBox 69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55" name="TextBox 69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57" name="TextBox 69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58" name="TextBox 69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59" name="TextBox 69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60" name="TextBox 69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61" name="TextBox 69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63" name="TextBox 69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64" name="TextBox 69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65" name="TextBox 69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66" name="TextBox 69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67" name="TextBox 69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68" name="TextBox 69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69" name="TextBox 69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70" name="TextBox 69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71" name="TextBox 69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72" name="TextBox 69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73" name="TextBox 69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74" name="TextBox 69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75" name="TextBox 69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76" name="TextBox 69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77" name="TextBox 69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78" name="TextBox 69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79" name="TextBox 69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81" name="TextBox 69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82" name="TextBox 69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83" name="TextBox 69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84" name="TextBox 69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85" name="TextBox 69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87" name="TextBox 69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88" name="TextBox 69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89" name="TextBox 69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90" name="TextBox 69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6991" name="TextBox 69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92" name="TextBox 69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93" name="TextBox 69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94" name="TextBox 69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95" name="TextBox 69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96" name="TextBox 69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6997" name="TextBox 69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6998" name="TextBox 69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6999" name="TextBox 69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00" name="TextBox 69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01" name="TextBox 70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02" name="TextBox 70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03" name="TextBox 70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004" name="TextBox 70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005" name="TextBox 70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006" name="TextBox 70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007" name="TextBox 70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008" name="TextBox 70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009" name="TextBox 70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010" name="TextBox 70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011" name="TextBox 70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012" name="TextBox 70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013" name="TextBox 70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014" name="TextBox 70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015" name="TextBox 70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16" name="TextBox 70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17" name="TextBox 70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18" name="TextBox 70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19" name="TextBox 70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20" name="TextBox 70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21" name="TextBox 70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22" name="TextBox 70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23" name="TextBox 70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24" name="TextBox 70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25" name="TextBox 70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26" name="TextBox 70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27" name="TextBox 70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028" name="TextBox 70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029" name="TextBox 70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030" name="TextBox 70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031" name="TextBox 70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032" name="TextBox 70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033" name="TextBox 70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34" name="TextBox 70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35" name="TextBox 70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36" name="TextBox 70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37" name="TextBox 70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38" name="TextBox 70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39" name="TextBox 70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40" name="TextBox 70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41" name="TextBox 70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42" name="TextBox 70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43" name="TextBox 70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44" name="TextBox 70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45" name="TextBox 70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46" name="TextBox 70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47" name="TextBox 70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48" name="TextBox 70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49" name="TextBox 70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50" name="TextBox 70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51" name="TextBox 70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052" name="TextBox 70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053" name="TextBox 70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055" name="TextBox 70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056" name="TextBox 70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057" name="TextBox 70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58" name="TextBox 70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59" name="TextBox 70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60" name="TextBox 70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61" name="TextBox 70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62" name="TextBox 70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63" name="TextBox 70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64" name="TextBox 70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65" name="TextBox 70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66" name="TextBox 70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67" name="TextBox 70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68" name="TextBox 70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69" name="TextBox 70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70" name="TextBox 70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71" name="TextBox 70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73" name="TextBox 70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74" name="TextBox 70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75" name="TextBox 70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76" name="TextBox 70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77" name="TextBox 70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78" name="TextBox 70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79" name="TextBox 70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80" name="TextBox 70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81" name="TextBox 70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082" name="TextBox 70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083" name="TextBox 70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084" name="TextBox 70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085" name="TextBox 70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086" name="TextBox 70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087" name="TextBox 70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88" name="TextBox 70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89" name="TextBox 70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90" name="TextBox 70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91" name="TextBox 70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92" name="TextBox 70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93" name="TextBox 70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94" name="TextBox 70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95" name="TextBox 70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96" name="TextBox 70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97" name="TextBox 70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98" name="TextBox 70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099" name="TextBox 70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00" name="TextBox 70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01" name="TextBox 71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02" name="TextBox 71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03" name="TextBox 71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04" name="TextBox 71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05" name="TextBox 71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06" name="TextBox 71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07" name="TextBox 71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08" name="TextBox 71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09" name="TextBox 71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10" name="TextBox 71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11" name="TextBox 71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112" name="TextBox 71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113" name="TextBox 71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114" name="TextBox 71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115" name="TextBox 71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116" name="TextBox 71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22" name="TextBox 71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25" name="TextBox 71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27" name="TextBox 71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28" name="TextBox 71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31" name="TextBox 71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34" name="TextBox 71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39" name="TextBox 71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40" name="TextBox 71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46" name="TextBox 71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48" name="TextBox 71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49" name="TextBox 71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52" name="TextBox 71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7155" name="TextBox 71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7158" name="TextBox 71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164" name="TextBox 71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170" name="TextBox 71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173" name="TextBox 71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175" name="TextBox 71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176" name="TextBox 71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179" name="TextBox 71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182" name="TextBox 71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187" name="TextBox 71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188" name="TextBox 71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193" name="TextBox 71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194" name="TextBox 71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197" name="TextBox 71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00" name="TextBox 71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03" name="TextBox 72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06" name="TextBox 72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09" name="TextBox 72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12" name="TextBox 72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215" name="TextBox 72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218" name="TextBox 72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21" name="TextBox 72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23" name="TextBox 72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24" name="TextBox 72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27" name="TextBox 72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30" name="TextBox 72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33" name="TextBox 72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36" name="TextBox 72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39" name="TextBox 72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42" name="TextBox 72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245" name="TextBox 72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248" name="TextBox 72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51" name="TextBox 72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54" name="TextBox 72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57" name="TextBox 72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60" name="TextBox 72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63" name="TextBox 72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69" name="TextBox 72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90" name="TextBox 72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95" name="TextBox 72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98" name="TextBox 72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299" name="TextBox 72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02" name="TextBox 73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305" name="TextBox 73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308" name="TextBox 73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11" name="TextBox 73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14" name="TextBox 73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17" name="TextBox 73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20" name="TextBox 73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23" name="TextBox 73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26" name="TextBox 73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29" name="TextBox 73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32" name="TextBox 73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335" name="TextBox 73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338" name="TextBox 73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41" name="TextBox 73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44" name="TextBox 73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47" name="TextBox 73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50" name="TextBox 73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53" name="TextBox 73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55" name="TextBox 73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56" name="TextBox 73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58" name="TextBox 73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59" name="TextBox 73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60" name="TextBox 73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61" name="TextBox 73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62" name="TextBox 73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65" name="TextBox 73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68" name="TextBox 73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71" name="TextBox 73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74" name="TextBox 73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377" name="TextBox 73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380" name="TextBox 73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83" name="TextBox 73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86" name="TextBox 73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389" name="TextBox 73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391" name="TextBox 73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392" name="TextBox 73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395" name="TextBox 73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398" name="TextBox 73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399" name="TextBox 73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01" name="TextBox 74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04" name="TextBox 74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10" name="TextBox 74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413" name="TextBox 74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416" name="TextBox 74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19" name="TextBox 74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21" name="TextBox 74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22" name="TextBox 74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23" name="TextBox 74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24" name="TextBox 74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25" name="TextBox 74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28" name="TextBox 74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31" name="TextBox 74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34" name="TextBox 74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437" name="TextBox 74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440" name="TextBox 74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46" name="TextBox 74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49" name="TextBox 74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51" name="TextBox 74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52" name="TextBox 74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55" name="TextBox 74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57" name="TextBox 74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58" name="TextBox 74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61" name="TextBox 74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64" name="TextBox 74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467" name="TextBox 74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470" name="TextBox 74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72" name="TextBox 74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73" name="TextBox 74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75" name="TextBox 74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76" name="TextBox 74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77" name="TextBox 74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78" name="TextBox 74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79" name="TextBox 74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81" name="TextBox 74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82" name="TextBox 74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83" name="TextBox 74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84" name="TextBox 74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85" name="TextBox 74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86" name="TextBox 74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87" name="TextBox 74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88" name="TextBox 74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89" name="TextBox 74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90" name="TextBox 74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91" name="TextBox 74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93" name="TextBox 74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94" name="TextBox 74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95" name="TextBox 74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96" name="TextBox 74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97" name="TextBox 74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499" name="TextBox 74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00" name="TextBox 74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01" name="TextBox 75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503" name="TextBox 75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505" name="TextBox 75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506" name="TextBox 75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507" name="TextBox 75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08" name="TextBox 75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09" name="TextBox 75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13" name="TextBox 75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19" name="TextBox 75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25" name="TextBox 75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28" name="TextBox 75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31" name="TextBox 75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33" name="TextBox 75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34" name="TextBox 75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37" name="TextBox 75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541" name="TextBox 75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542" name="TextBox 75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44" name="TextBox 75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45" name="TextBox 75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48" name="TextBox 75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51" name="TextBox 75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54" name="TextBox 75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57" name="TextBox 75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60" name="TextBox 75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63" name="TextBox 75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66" name="TextBox 75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69" name="TextBox 75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72" name="TextBox 75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75" name="TextBox 75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78" name="TextBox 75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81" name="TextBox 75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84" name="TextBox 75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7587" name="TextBox 75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7590" name="TextBox 75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593" name="TextBox 75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596" name="TextBox 75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599" name="TextBox 75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602" name="TextBox 76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605" name="TextBox 76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609" name="TextBox 76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10" name="TextBox 76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15" name="TextBox 76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17" name="TextBox 76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18" name="TextBox 76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623" name="TextBox 76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624" name="TextBox 76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626" name="TextBox 76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627" name="TextBox 76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29" name="TextBox 76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30" name="TextBox 76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33" name="TextBox 76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35" name="TextBox 76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36" name="TextBox 76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38" name="TextBox 76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39" name="TextBox 76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41" name="TextBox 76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42" name="TextBox 76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45" name="TextBox 76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647" name="TextBox 76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648" name="TextBox 76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651" name="TextBox 76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53" name="TextBox 76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54" name="TextBox 76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57" name="TextBox 76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59" name="TextBox 76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60" name="TextBox 76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61" name="TextBox 76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65" name="TextBox 76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67" name="TextBox 76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71" name="TextBox 76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73" name="TextBox 76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676" name="TextBox 76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677" name="TextBox 76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679" name="TextBox 76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682" name="TextBox 76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683" name="TextBox 76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685" name="TextBox 76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89" name="TextBox 76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91" name="TextBox 76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95" name="TextBox 76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97" name="TextBox 76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00" name="TextBox 76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01" name="TextBox 77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03" name="TextBox 77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06" name="TextBox 77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07" name="TextBox 77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09" name="TextBox 77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713" name="TextBox 77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715" name="TextBox 77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716" name="TextBox 77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717" name="TextBox 77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19" name="TextBox 77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20" name="TextBox 77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21" name="TextBox 77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22" name="TextBox 77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23" name="TextBox 77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24" name="TextBox 77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25" name="TextBox 77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26" name="TextBox 77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27" name="TextBox 77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28" name="TextBox 77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29" name="TextBox 77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30" name="TextBox 77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31" name="TextBox 77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32" name="TextBox 77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33" name="TextBox 77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34" name="TextBox 77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35" name="TextBox 77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736" name="TextBox 77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737" name="TextBox 77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739" name="TextBox 77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740" name="TextBox 77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741" name="TextBox 77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42" name="TextBox 77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43" name="TextBox 77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44" name="TextBox 77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45" name="TextBox 77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46" name="TextBox 77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47" name="TextBox 77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48" name="TextBox 77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49" name="TextBox 77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50" name="TextBox 77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51" name="TextBox 77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52" name="TextBox 77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53" name="TextBox 77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54" name="TextBox 77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55" name="TextBox 77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57" name="TextBox 77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58" name="TextBox 77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59" name="TextBox 77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60" name="TextBox 77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61" name="TextBox 77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62" name="TextBox 77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63" name="TextBox 77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64" name="TextBox 77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65" name="TextBox 77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766" name="TextBox 77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767" name="TextBox 77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768" name="TextBox 77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769" name="TextBox 77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770" name="TextBox 77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772" name="TextBox 77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773" name="TextBox 77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775" name="TextBox 77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776" name="TextBox 77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777" name="TextBox 77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78" name="TextBox 77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79" name="TextBox 77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80" name="TextBox 77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81" name="TextBox 77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82" name="TextBox 77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83" name="TextBox 77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84" name="TextBox 77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85" name="TextBox 77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86" name="TextBox 77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87" name="TextBox 77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88" name="TextBox 77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789" name="TextBox 77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790" name="TextBox 77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791" name="TextBox 77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792" name="TextBox 77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793" name="TextBox 77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794" name="TextBox 77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795" name="TextBox 77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796" name="TextBox 77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797" name="TextBox 77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798" name="TextBox 77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799" name="TextBox 77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00" name="TextBox 77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01" name="TextBox 78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802" name="TextBox 78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803" name="TextBox 78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804" name="TextBox 78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805" name="TextBox 78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806" name="TextBox 78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807" name="TextBox 78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08" name="TextBox 78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09" name="TextBox 78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10" name="TextBox 78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11" name="TextBox 78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12" name="TextBox 78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13" name="TextBox 78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14" name="TextBox 78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15" name="TextBox 78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17" name="TextBox 78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18" name="TextBox 78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19" name="TextBox 78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20" name="TextBox 78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21" name="TextBox 78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22" name="TextBox 78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23" name="TextBox 78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24" name="TextBox 78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25" name="TextBox 78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826" name="TextBox 78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827" name="TextBox 78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828" name="TextBox 78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829" name="TextBox 78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830" name="TextBox 78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831" name="TextBox 78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32" name="TextBox 78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33" name="TextBox 78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34" name="TextBox 78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35" name="TextBox 78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36" name="TextBox 78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37" name="TextBox 78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38" name="TextBox 78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39" name="TextBox 78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40" name="TextBox 78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41" name="TextBox 78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42" name="TextBox 78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43" name="TextBox 78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44" name="TextBox 78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45" name="TextBox 78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46" name="TextBox 78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47" name="TextBox 78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48" name="TextBox 78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49" name="TextBox 78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50" name="TextBox 78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51" name="TextBox 78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53" name="TextBox 78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54" name="TextBox 78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55" name="TextBox 78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856" name="TextBox 78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857" name="TextBox 78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858" name="TextBox 78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859" name="TextBox 78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860" name="TextBox 78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861" name="TextBox 78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62" name="TextBox 78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63" name="TextBox 78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64" name="TextBox 78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65" name="TextBox 78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66" name="TextBox 78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67" name="TextBox 78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68" name="TextBox 78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69" name="TextBox 78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70" name="TextBox 78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71" name="TextBox 78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72" name="TextBox 78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73" name="TextBox 78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74" name="TextBox 78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75" name="TextBox 78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76" name="TextBox 78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77" name="TextBox 78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78" name="TextBox 78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79" name="TextBox 78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80" name="TextBox 78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81" name="TextBox 78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82" name="TextBox 78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83" name="TextBox 78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84" name="TextBox 78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85" name="TextBox 78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886" name="TextBox 78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887" name="TextBox 78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888" name="TextBox 78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889" name="TextBox 78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890" name="TextBox 78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891" name="TextBox 78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92" name="TextBox 78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93" name="TextBox 78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94" name="TextBox 78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95" name="TextBox 78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96" name="TextBox 78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98" name="TextBox 78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899" name="TextBox 78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900" name="TextBox 78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901" name="TextBox 79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902" name="TextBox 79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903" name="TextBox 79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904" name="TextBox 79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905" name="TextBox 79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906" name="TextBox 79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907" name="TextBox 79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908" name="TextBox 79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909" name="TextBox 79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910" name="TextBox 79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911" name="TextBox 79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912" name="TextBox 79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913" name="TextBox 79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914" name="TextBox 79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915" name="TextBox 79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916" name="TextBox 79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917" name="TextBox 79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918" name="TextBox 79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919" name="TextBox 79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920" name="TextBox 79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921" name="TextBox 79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922" name="TextBox 79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923" name="TextBox 79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924" name="TextBox 79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925" name="TextBox 79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926" name="TextBox 79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7927" name="TextBox 79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928" name="TextBox 79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929" name="TextBox 79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931" name="TextBox 79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932" name="TextBox 79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7933" name="TextBox 79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34" name="TextBox 79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35" name="TextBox 79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36" name="TextBox 79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37" name="TextBox 79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38" name="TextBox 79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39" name="TextBox 79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940" name="TextBox 79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941" name="TextBox 79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942" name="TextBox 79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943" name="TextBox 79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944" name="TextBox 79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945" name="TextBox 79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946" name="TextBox 79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947" name="TextBox 79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948" name="TextBox 79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949" name="TextBox 79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950" name="TextBox 79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951" name="TextBox 79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52" name="TextBox 79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53" name="TextBox 79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54" name="TextBox 79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55" name="TextBox 79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56" name="TextBox 79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57" name="TextBox 79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58" name="TextBox 79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59" name="TextBox 79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60" name="TextBox 79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61" name="TextBox 79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62" name="TextBox 79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63" name="TextBox 79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964" name="TextBox 79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965" name="TextBox 79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966" name="TextBox 79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967" name="TextBox 79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968" name="TextBox 79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969" name="TextBox 79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70" name="TextBox 79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71" name="TextBox 79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72" name="TextBox 79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73" name="TextBox 79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74" name="TextBox 79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75" name="TextBox 79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76" name="TextBox 79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77" name="TextBox 79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78" name="TextBox 79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79" name="TextBox 79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80" name="TextBox 79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81" name="TextBox 79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82" name="TextBox 79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83" name="TextBox 79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84" name="TextBox 79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85" name="TextBox 79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86" name="TextBox 79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87" name="TextBox 79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988" name="TextBox 79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989" name="TextBox 79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991" name="TextBox 79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992" name="TextBox 79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7993" name="TextBox 79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94" name="TextBox 79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95" name="TextBox 79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96" name="TextBox 79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97" name="TextBox 79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98" name="TextBox 79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7999" name="TextBox 79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00" name="TextBox 79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01" name="TextBox 80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02" name="TextBox 80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03" name="TextBox 80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04" name="TextBox 80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05" name="TextBox 80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06" name="TextBox 80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07" name="TextBox 80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08" name="TextBox 80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09" name="TextBox 80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10" name="TextBox 80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11" name="TextBox 80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12" name="TextBox 80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13" name="TextBox 80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14" name="TextBox 80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15" name="TextBox 80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16" name="TextBox 80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17" name="TextBox 80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018" name="TextBox 80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019" name="TextBox 80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020" name="TextBox 80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021" name="TextBox 80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022" name="TextBox 80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023" name="TextBox 80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24" name="TextBox 80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25" name="TextBox 80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26" name="TextBox 80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27" name="TextBox 80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28" name="TextBox 80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29" name="TextBox 80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30" name="TextBox 80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31" name="TextBox 80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32" name="TextBox 80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33" name="TextBox 80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34" name="TextBox 80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35" name="TextBox 80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36" name="TextBox 80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37" name="TextBox 80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38" name="TextBox 80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39" name="TextBox 80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40" name="TextBox 80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41" name="TextBox 80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42" name="TextBox 80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43" name="TextBox 80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44" name="TextBox 80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45" name="TextBox 80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46" name="TextBox 80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47" name="TextBox 80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48" name="TextBox 80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49" name="TextBox 80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50" name="TextBox 80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51" name="TextBox 80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52" name="TextBox 80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53" name="TextBox 80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54" name="TextBox 80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55" name="TextBox 80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56" name="TextBox 80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57" name="TextBox 80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58" name="TextBox 80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59" name="TextBox 80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60" name="TextBox 80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61" name="TextBox 80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62" name="TextBox 80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63" name="TextBox 80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64" name="TextBox 80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65" name="TextBox 80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66" name="TextBox 80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67" name="TextBox 80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68" name="TextBox 80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69" name="TextBox 80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70" name="TextBox 80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71" name="TextBox 80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72" name="TextBox 80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73" name="TextBox 80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74" name="TextBox 80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75" name="TextBox 80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76" name="TextBox 80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77" name="TextBox 80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78" name="TextBox 80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79" name="TextBox 80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80" name="TextBox 80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81" name="TextBox 80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82" name="TextBox 80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083" name="TextBox 80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84" name="TextBox 80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85" name="TextBox 80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86" name="TextBox 80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87" name="TextBox 80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88" name="TextBox 80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89" name="TextBox 80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90" name="TextBox 80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91" name="TextBox 80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92" name="TextBox 80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93" name="TextBox 80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94" name="TextBox 80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95" name="TextBox 80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96" name="TextBox 80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97" name="TextBox 80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98" name="TextBox 80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099" name="TextBox 80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00" name="TextBox 80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01" name="TextBox 81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02" name="TextBox 81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03" name="TextBox 81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04" name="TextBox 81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05" name="TextBox 81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06" name="TextBox 81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07" name="TextBox 81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108" name="TextBox 81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109" name="TextBox 81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110" name="TextBox 81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111" name="TextBox 81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112" name="TextBox 81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113" name="TextBox 81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14" name="TextBox 81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15" name="TextBox 81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16" name="TextBox 81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17" name="TextBox 81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18" name="TextBox 81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19" name="TextBox 81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20" name="TextBox 81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21" name="TextBox 81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22" name="TextBox 81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23" name="TextBox 81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24" name="TextBox 81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25" name="TextBox 81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26" name="TextBox 81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27" name="TextBox 81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28" name="TextBox 81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29" name="TextBox 81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30" name="TextBox 81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31" name="TextBox 81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32" name="TextBox 81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33" name="TextBox 81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34" name="TextBox 81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35" name="TextBox 81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36" name="TextBox 81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37" name="TextBox 81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38" name="TextBox 81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39" name="TextBox 81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40" name="TextBox 81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41" name="TextBox 81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42" name="TextBox 81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43" name="TextBox 81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44" name="TextBox 81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45" name="TextBox 81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46" name="TextBox 81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47" name="TextBox 81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48" name="TextBox 81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49" name="TextBox 81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150" name="TextBox 81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151" name="TextBox 81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152" name="TextBox 81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153" name="TextBox 81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154" name="TextBox 81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155" name="TextBox 81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56" name="TextBox 81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57" name="TextBox 81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58" name="TextBox 81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59" name="TextBox 81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60" name="TextBox 81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61" name="TextBox 81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162" name="TextBox 81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163" name="TextBox 81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164" name="TextBox 81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165" name="TextBox 81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166" name="TextBox 81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167" name="TextBox 81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168" name="TextBox 81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169" name="TextBox 81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170" name="TextBox 81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171" name="TextBox 81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172" name="TextBox 81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173" name="TextBox 81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74" name="TextBox 81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75" name="TextBox 81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76" name="TextBox 81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77" name="TextBox 81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78" name="TextBox 81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79" name="TextBox 81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80" name="TextBox 81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81" name="TextBox 81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82" name="TextBox 81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83" name="TextBox 81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84" name="TextBox 81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85" name="TextBox 81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186" name="TextBox 81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187" name="TextBox 81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188" name="TextBox 81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189" name="TextBox 81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190" name="TextBox 81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191" name="TextBox 81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92" name="TextBox 81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93" name="TextBox 81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94" name="TextBox 81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95" name="TextBox 81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96" name="TextBox 81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97" name="TextBox 81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98" name="TextBox 81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199" name="TextBox 81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00" name="TextBox 81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01" name="TextBox 82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02" name="TextBox 82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03" name="TextBox 82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04" name="TextBox 82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05" name="TextBox 82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06" name="TextBox 82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07" name="TextBox 82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08" name="TextBox 82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09" name="TextBox 82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210" name="TextBox 82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211" name="TextBox 82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212" name="TextBox 82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213" name="TextBox 82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214" name="TextBox 82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215" name="TextBox 82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16" name="TextBox 82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17" name="TextBox 82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18" name="TextBox 82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19" name="TextBox 82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20" name="TextBox 82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21" name="TextBox 82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22" name="TextBox 82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23" name="TextBox 82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24" name="TextBox 82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25" name="TextBox 82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26" name="TextBox 82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27" name="TextBox 82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28" name="TextBox 82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29" name="TextBox 82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30" name="TextBox 82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31" name="TextBox 82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32" name="TextBox 82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33" name="TextBox 82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34" name="TextBox 82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35" name="TextBox 82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36" name="TextBox 82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37" name="TextBox 82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38" name="TextBox 82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39" name="TextBox 82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240" name="TextBox 82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241" name="TextBox 82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242" name="TextBox 82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243" name="TextBox 82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244" name="TextBox 82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245" name="TextBox 82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46" name="TextBox 82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47" name="TextBox 82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48" name="TextBox 82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49" name="TextBox 82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50" name="TextBox 82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51" name="TextBox 82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52" name="TextBox 82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53" name="TextBox 82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54" name="TextBox 82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55" name="TextBox 82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56" name="TextBox 82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57" name="TextBox 82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58" name="TextBox 82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59" name="TextBox 82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60" name="TextBox 82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61" name="TextBox 82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62" name="TextBox 82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63" name="TextBox 82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64" name="TextBox 82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65" name="TextBox 82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66" name="TextBox 82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67" name="TextBox 82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68" name="TextBox 82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69" name="TextBox 82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70" name="TextBox 82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71" name="TextBox 82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72" name="TextBox 82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73" name="TextBox 82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74" name="TextBox 82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75" name="TextBox 82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276" name="TextBox 82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277" name="TextBox 82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278" name="TextBox 82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279" name="TextBox 82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280" name="TextBox 82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281" name="TextBox 82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82" name="TextBox 82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83" name="TextBox 82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84" name="TextBox 82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85" name="TextBox 82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86" name="TextBox 82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87" name="TextBox 82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88" name="TextBox 82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89" name="TextBox 82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90" name="TextBox 82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91" name="TextBox 82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92" name="TextBox 82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93" name="TextBox 82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94" name="TextBox 82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95" name="TextBox 82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96" name="TextBox 82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97" name="TextBox 82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98" name="TextBox 82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299" name="TextBox 82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00" name="TextBox 82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01" name="TextBox 83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02" name="TextBox 83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03" name="TextBox 83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04" name="TextBox 83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05" name="TextBox 83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06" name="TextBox 83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07" name="TextBox 83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08" name="TextBox 83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09" name="TextBox 83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10" name="TextBox 83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11" name="TextBox 83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312" name="TextBox 83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313" name="TextBox 83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314" name="TextBox 83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315" name="TextBox 83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316" name="TextBox 83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317" name="TextBox 83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18" name="TextBox 83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19" name="TextBox 83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20" name="TextBox 83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21" name="TextBox 83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22" name="TextBox 83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23" name="TextBox 83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24" name="TextBox 83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25" name="TextBox 83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26" name="TextBox 83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27" name="TextBox 83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28" name="TextBox 83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29" name="TextBox 83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30" name="TextBox 83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31" name="TextBox 83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32" name="TextBox 83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33" name="TextBox 83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34" name="TextBox 83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35" name="TextBox 83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36" name="TextBox 83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37" name="TextBox 83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38" name="TextBox 83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39" name="TextBox 83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40" name="TextBox 83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41" name="TextBox 83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42" name="TextBox 83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43" name="TextBox 83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44" name="TextBox 83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45" name="TextBox 83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46" name="TextBox 83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47" name="TextBox 83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48" name="TextBox 83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49" name="TextBox 83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50" name="TextBox 83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51" name="TextBox 83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52" name="TextBox 83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53" name="TextBox 83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54" name="TextBox 83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55" name="TextBox 83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56" name="TextBox 83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57" name="TextBox 83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58" name="TextBox 83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359" name="TextBox 83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8360" name="TextBox 83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8361" name="TextBox 83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8362" name="TextBox 83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8363" name="TextBox 83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8364" name="TextBox 83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8365" name="TextBox 83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366" name="TextBox 83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367" name="TextBox 83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368" name="TextBox 83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369" name="TextBox 83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370" name="TextBox 83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371" name="TextBox 83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372" name="TextBox 83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373" name="TextBox 83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374" name="TextBox 83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375" name="TextBox 83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376" name="TextBox 83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377" name="TextBox 83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378" name="TextBox 83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379" name="TextBox 83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380" name="TextBox 83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381" name="TextBox 83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382" name="TextBox 83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383" name="TextBox 83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384" name="TextBox 83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385" name="TextBox 83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386" name="TextBox 83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387" name="TextBox 83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388" name="TextBox 83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389" name="TextBox 83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390" name="TextBox 83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391" name="TextBox 83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392" name="TextBox 83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393" name="TextBox 83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394" name="TextBox 83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395" name="TextBox 83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396" name="TextBox 83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397" name="TextBox 83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398" name="TextBox 83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399" name="TextBox 83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400" name="TextBox 83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401" name="TextBox 84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02" name="TextBox 84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03" name="TextBox 84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04" name="TextBox 84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05" name="TextBox 84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06" name="TextBox 84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07" name="TextBox 84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08" name="TextBox 84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09" name="TextBox 84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10" name="TextBox 84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11" name="TextBox 84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12" name="TextBox 84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13" name="TextBox 84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14" name="TextBox 84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15" name="TextBox 84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16" name="TextBox 84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17" name="TextBox 84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18" name="TextBox 84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19" name="TextBox 84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420" name="TextBox 84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421" name="TextBox 84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422" name="TextBox 84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423" name="TextBox 84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424" name="TextBox 84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425" name="TextBox 84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26" name="TextBox 84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27" name="TextBox 84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28" name="TextBox 84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29" name="TextBox 84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30" name="TextBox 84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31" name="TextBox 84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32" name="TextBox 84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33" name="TextBox 84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34" name="TextBox 84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35" name="TextBox 84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36" name="TextBox 84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37" name="TextBox 84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38" name="TextBox 84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39" name="TextBox 84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40" name="TextBox 84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41" name="TextBox 84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42" name="TextBox 84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43" name="TextBox 84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44" name="TextBox 84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45" name="TextBox 84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46" name="TextBox 84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47" name="TextBox 84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48" name="TextBox 84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49" name="TextBox 84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450" name="TextBox 84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451" name="TextBox 84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452" name="TextBox 84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453" name="TextBox 84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454" name="TextBox 84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455" name="TextBox 84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456" name="TextBox 84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457" name="TextBox 84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458" name="TextBox 84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459" name="TextBox 84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460" name="TextBox 84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461" name="TextBox 84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62" name="TextBox 84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63" name="TextBox 84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64" name="TextBox 84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65" name="TextBox 84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66" name="TextBox 84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67" name="TextBox 84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68" name="TextBox 84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69" name="TextBox 84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70" name="TextBox 84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71" name="TextBox 84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72" name="TextBox 84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73" name="TextBox 84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474" name="TextBox 84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475" name="TextBox 84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476" name="TextBox 84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477" name="TextBox 84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478" name="TextBox 84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479" name="TextBox 84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480" name="TextBox 84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481" name="TextBox 84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482" name="TextBox 84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483" name="TextBox 84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484" name="TextBox 84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485" name="TextBox 84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86" name="TextBox 84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87" name="TextBox 84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88" name="TextBox 84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89" name="TextBox 84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90" name="TextBox 84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491" name="TextBox 84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492" name="TextBox 84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493" name="TextBox 84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494" name="TextBox 84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495" name="TextBox 84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496" name="TextBox 84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497" name="TextBox 84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498" name="TextBox 84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499" name="TextBox 84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00" name="TextBox 84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01" name="TextBox 85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02" name="TextBox 85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03" name="TextBox 85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04" name="TextBox 85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05" name="TextBox 85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06" name="TextBox 85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07" name="TextBox 85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08" name="TextBox 85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09" name="TextBox 85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510" name="TextBox 85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511" name="TextBox 85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512" name="TextBox 85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513" name="TextBox 85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514" name="TextBox 85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515" name="TextBox 85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16" name="TextBox 85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17" name="TextBox 85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18" name="TextBox 85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19" name="TextBox 85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20" name="TextBox 85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21" name="TextBox 85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22" name="TextBox 85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23" name="TextBox 85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24" name="TextBox 85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25" name="TextBox 85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26" name="TextBox 85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27" name="TextBox 85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28" name="TextBox 85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29" name="TextBox 85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30" name="TextBox 85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31" name="TextBox 85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32" name="TextBox 85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33" name="TextBox 85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34" name="TextBox 85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35" name="TextBox 85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36" name="TextBox 85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37" name="TextBox 85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38" name="TextBox 85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39" name="TextBox 85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540" name="TextBox 85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541" name="TextBox 85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542" name="TextBox 85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543" name="TextBox 85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544" name="TextBox 85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545" name="TextBox 85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46" name="TextBox 85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47" name="TextBox 85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48" name="TextBox 85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49" name="TextBox 85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50" name="TextBox 85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51" name="TextBox 85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52" name="TextBox 85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53" name="TextBox 85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54" name="TextBox 85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55" name="TextBox 85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56" name="TextBox 85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57" name="TextBox 85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58" name="TextBox 85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59" name="TextBox 85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60" name="TextBox 85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61" name="TextBox 85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62" name="TextBox 85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63" name="TextBox 85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64" name="TextBox 85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65" name="TextBox 85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66" name="TextBox 85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67" name="TextBox 85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68" name="TextBox 85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69" name="TextBox 85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70" name="TextBox 85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71" name="TextBox 85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72" name="TextBox 85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73" name="TextBox 85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74" name="TextBox 85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75" name="TextBox 85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76" name="TextBox 85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77" name="TextBox 85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78" name="TextBox 85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79" name="TextBox 85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80" name="TextBox 85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581" name="TextBox 85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82" name="TextBox 85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83" name="TextBox 85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84" name="TextBox 85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85" name="TextBox 85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86" name="TextBox 85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87" name="TextBox 85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88" name="TextBox 85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89" name="TextBox 85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90" name="TextBox 85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91" name="TextBox 85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92" name="TextBox 85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93" name="TextBox 85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94" name="TextBox 85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95" name="TextBox 85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96" name="TextBox 85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97" name="TextBox 85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98" name="TextBox 85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599" name="TextBox 85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600" name="TextBox 85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601" name="TextBox 86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602" name="TextBox 86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603" name="TextBox 86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604" name="TextBox 86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605" name="TextBox 86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06" name="TextBox 86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07" name="TextBox 86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08" name="TextBox 86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09" name="TextBox 86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10" name="TextBox 86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11" name="TextBox 86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12" name="TextBox 86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13" name="TextBox 86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14" name="TextBox 86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15" name="TextBox 86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16" name="TextBox 86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17" name="TextBox 86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18" name="TextBox 86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19" name="TextBox 86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20" name="TextBox 86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21" name="TextBox 86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22" name="TextBox 86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23" name="TextBox 86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24" name="TextBox 86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25" name="TextBox 86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26" name="TextBox 86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27" name="TextBox 86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28" name="TextBox 86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29" name="TextBox 86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630" name="TextBox 86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631" name="TextBox 86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632" name="TextBox 86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633" name="TextBox 86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634" name="TextBox 86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635" name="TextBox 86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36" name="TextBox 86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37" name="TextBox 86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38" name="TextBox 86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39" name="TextBox 86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40" name="TextBox 86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41" name="TextBox 86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42" name="TextBox 86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43" name="TextBox 86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44" name="TextBox 86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45" name="TextBox 86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46" name="TextBox 86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47" name="TextBox 86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48" name="TextBox 86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49" name="TextBox 86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50" name="TextBox 86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51" name="TextBox 86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52" name="TextBox 86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53" name="TextBox 86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54" name="TextBox 86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55" name="TextBox 86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56" name="TextBox 86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57" name="TextBox 86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58" name="TextBox 86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59" name="TextBox 86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660" name="TextBox 86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661" name="TextBox 86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662" name="TextBox 86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663" name="TextBox 86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664" name="TextBox 86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665" name="TextBox 86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66" name="TextBox 86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67" name="TextBox 86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68" name="TextBox 86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69" name="TextBox 86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70" name="TextBox 86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71" name="TextBox 86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72" name="TextBox 86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73" name="TextBox 86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74" name="TextBox 86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75" name="TextBox 86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76" name="TextBox 86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77" name="TextBox 86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78" name="TextBox 86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79" name="TextBox 86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80" name="TextBox 86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81" name="TextBox 86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82" name="TextBox 86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83" name="TextBox 86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84" name="TextBox 86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85" name="TextBox 86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86" name="TextBox 86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87" name="TextBox 86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88" name="TextBox 86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89" name="TextBox 86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90" name="TextBox 86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91" name="TextBox 86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92" name="TextBox 86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93" name="TextBox 86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94" name="TextBox 86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95" name="TextBox 86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96" name="TextBox 86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97" name="TextBox 86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98" name="TextBox 86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699" name="TextBox 86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700" name="TextBox 86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701" name="TextBox 87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702" name="TextBox 87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703" name="TextBox 87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704" name="TextBox 87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705" name="TextBox 87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706" name="TextBox 87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8707" name="TextBox 87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08" name="TextBox 87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09" name="TextBox 87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10" name="TextBox 87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11" name="TextBox 87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12" name="TextBox 87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13" name="TextBox 87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714" name="TextBox 87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715" name="TextBox 87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716" name="TextBox 87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717" name="TextBox 87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718" name="TextBox 87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719" name="TextBox 87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720" name="TextBox 87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721" name="TextBox 87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722" name="TextBox 87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723" name="TextBox 87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724" name="TextBox 87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725" name="TextBox 87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26" name="TextBox 87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27" name="TextBox 87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28" name="TextBox 87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29" name="TextBox 87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30" name="TextBox 87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31" name="TextBox 87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32" name="TextBox 87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33" name="TextBox 87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34" name="TextBox 87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35" name="TextBox 87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36" name="TextBox 87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37" name="TextBox 87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738" name="TextBox 87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739" name="TextBox 87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740" name="TextBox 87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741" name="TextBox 87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742" name="TextBox 87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743" name="TextBox 87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44" name="TextBox 87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45" name="TextBox 87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46" name="TextBox 87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47" name="TextBox 87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48" name="TextBox 87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49" name="TextBox 87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50" name="TextBox 87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51" name="TextBox 87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52" name="TextBox 87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53" name="TextBox 87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54" name="TextBox 87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55" name="TextBox 87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56" name="TextBox 87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57" name="TextBox 87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58" name="TextBox 87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59" name="TextBox 87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60" name="TextBox 87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61" name="TextBox 87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762" name="TextBox 87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763" name="TextBox 87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764" name="TextBox 87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765" name="TextBox 87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766" name="TextBox 87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767" name="TextBox 87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68" name="TextBox 87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69" name="TextBox 87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70" name="TextBox 87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71" name="TextBox 87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72" name="TextBox 87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73" name="TextBox 87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74" name="TextBox 87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75" name="TextBox 87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76" name="TextBox 87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77" name="TextBox 87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78" name="TextBox 87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79" name="TextBox 87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80" name="TextBox 87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81" name="TextBox 87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82" name="TextBox 87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83" name="TextBox 87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84" name="TextBox 87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85" name="TextBox 87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86" name="TextBox 87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87" name="TextBox 87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88" name="TextBox 87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89" name="TextBox 87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90" name="TextBox 87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791" name="TextBox 87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792" name="TextBox 87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793" name="TextBox 87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794" name="TextBox 87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795" name="TextBox 87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796" name="TextBox 87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797" name="TextBox 87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798" name="TextBox 87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799" name="TextBox 87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00" name="TextBox 87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01" name="TextBox 88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02" name="TextBox 88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03" name="TextBox 88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804" name="TextBox 88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805" name="TextBox 88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806" name="TextBox 88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807" name="TextBox 88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808" name="TextBox 88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809" name="TextBox 88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810" name="TextBox 88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811" name="TextBox 88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812" name="TextBox 88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813" name="TextBox 88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814" name="TextBox 88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815" name="TextBox 88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16" name="TextBox 88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17" name="TextBox 88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18" name="TextBox 88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19" name="TextBox 88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20" name="TextBox 88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21" name="TextBox 88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22" name="TextBox 88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23" name="TextBox 88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24" name="TextBox 88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25" name="TextBox 88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26" name="TextBox 88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27" name="TextBox 88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828" name="TextBox 88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829" name="TextBox 88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830" name="TextBox 88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831" name="TextBox 88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832" name="TextBox 88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833" name="TextBox 88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34" name="TextBox 88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35" name="TextBox 88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36" name="TextBox 88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37" name="TextBox 88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38" name="TextBox 88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39" name="TextBox 88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40" name="TextBox 88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41" name="TextBox 88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42" name="TextBox 88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43" name="TextBox 88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44" name="TextBox 88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45" name="TextBox 88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46" name="TextBox 88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47" name="TextBox 88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48" name="TextBox 88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49" name="TextBox 88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50" name="TextBox 88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51" name="TextBox 88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852" name="TextBox 88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853" name="TextBox 88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854" name="TextBox 88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855" name="TextBox 88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856" name="TextBox 88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857" name="TextBox 88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58" name="TextBox 88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59" name="TextBox 88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60" name="TextBox 88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61" name="TextBox 88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62" name="TextBox 88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63" name="TextBox 88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64" name="TextBox 88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65" name="TextBox 88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66" name="TextBox 88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67" name="TextBox 88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68" name="TextBox 88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69" name="TextBox 88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70" name="TextBox 88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71" name="TextBox 88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72" name="TextBox 88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73" name="TextBox 88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74" name="TextBox 88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75" name="TextBox 88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76" name="TextBox 88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77" name="TextBox 88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78" name="TextBox 88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79" name="TextBox 88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80" name="TextBox 88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81" name="TextBox 88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882" name="TextBox 88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883" name="TextBox 88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884" name="TextBox 88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885" name="TextBox 88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886" name="TextBox 88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887" name="TextBox 88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88" name="TextBox 88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89" name="TextBox 88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90" name="TextBox 88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91" name="TextBox 88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92" name="TextBox 88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93" name="TextBox 88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94" name="TextBox 88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95" name="TextBox 88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96" name="TextBox 88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97" name="TextBox 88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98" name="TextBox 88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899" name="TextBox 88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00" name="TextBox 88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01" name="TextBox 89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02" name="TextBox 89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03" name="TextBox 89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04" name="TextBox 89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05" name="TextBox 89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06" name="TextBox 89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07" name="TextBox 89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08" name="TextBox 89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09" name="TextBox 89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10" name="TextBox 89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11" name="TextBox 89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12" name="TextBox 89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13" name="TextBox 89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14" name="TextBox 89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15" name="TextBox 89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16" name="TextBox 89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17" name="TextBox 89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18" name="TextBox 89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19" name="TextBox 89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20" name="TextBox 89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21" name="TextBox 89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22" name="TextBox 89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23" name="TextBox 89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924" name="TextBox 89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925" name="TextBox 89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926" name="TextBox 89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927" name="TextBox 89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928" name="TextBox 89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8929" name="TextBox 89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30" name="TextBox 89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31" name="TextBox 89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32" name="TextBox 89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33" name="TextBox 89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34" name="TextBox 89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35" name="TextBox 89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936" name="TextBox 89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937" name="TextBox 89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938" name="TextBox 89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939" name="TextBox 89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940" name="TextBox 89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941" name="TextBox 89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942" name="TextBox 89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943" name="TextBox 89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944" name="TextBox 89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945" name="TextBox 89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946" name="TextBox 89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947" name="TextBox 89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48" name="TextBox 89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49" name="TextBox 89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50" name="TextBox 89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51" name="TextBox 89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52" name="TextBox 89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53" name="TextBox 89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54" name="TextBox 89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55" name="TextBox 89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56" name="TextBox 89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57" name="TextBox 89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58" name="TextBox 89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59" name="TextBox 89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960" name="TextBox 89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961" name="TextBox 89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962" name="TextBox 89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963" name="TextBox 89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964" name="TextBox 89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965" name="TextBox 89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66" name="TextBox 89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67" name="TextBox 89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68" name="TextBox 89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69" name="TextBox 89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70" name="TextBox 89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71" name="TextBox 89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72" name="TextBox 89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73" name="TextBox 89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74" name="TextBox 89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75" name="TextBox 89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76" name="TextBox 89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77" name="TextBox 89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78" name="TextBox 89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79" name="TextBox 89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80" name="TextBox 89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81" name="TextBox 89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82" name="TextBox 89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83" name="TextBox 89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984" name="TextBox 89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985" name="TextBox 89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986" name="TextBox 89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987" name="TextBox 89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988" name="TextBox 89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8989" name="TextBox 89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90" name="TextBox 89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91" name="TextBox 89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92" name="TextBox 89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93" name="TextBox 89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94" name="TextBox 89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95" name="TextBox 89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96" name="TextBox 89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97" name="TextBox 89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98" name="TextBox 89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8999" name="TextBox 89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00" name="TextBox 89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01" name="TextBox 90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02" name="TextBox 90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03" name="TextBox 90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04" name="TextBox 90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05" name="TextBox 90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06" name="TextBox 90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07" name="TextBox 90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08" name="TextBox 90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09" name="TextBox 90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10" name="TextBox 90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11" name="TextBox 90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12" name="TextBox 90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13" name="TextBox 90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014" name="TextBox 90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015" name="TextBox 90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016" name="TextBox 90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017" name="TextBox 90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018" name="TextBox 90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019" name="TextBox 90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20" name="TextBox 90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21" name="TextBox 90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22" name="TextBox 90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23" name="TextBox 90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24" name="TextBox 90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25" name="TextBox 90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26" name="TextBox 90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27" name="TextBox 90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28" name="TextBox 90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29" name="TextBox 90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30" name="TextBox 90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31" name="TextBox 90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32" name="TextBox 90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33" name="TextBox 90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34" name="TextBox 90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35" name="TextBox 90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36" name="TextBox 90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37" name="TextBox 90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38" name="TextBox 90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39" name="TextBox 90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40" name="TextBox 90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41" name="TextBox 90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42" name="TextBox 90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43" name="TextBox 90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44" name="TextBox 90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45" name="TextBox 90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46" name="TextBox 90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47" name="TextBox 90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48" name="TextBox 90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49" name="TextBox 90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050" name="TextBox 90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051" name="TextBox 90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052" name="TextBox 90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053" name="TextBox 90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054" name="TextBox 90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055" name="TextBox 90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56" name="TextBox 90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57" name="TextBox 90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58" name="TextBox 90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59" name="TextBox 90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60" name="TextBox 90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61" name="TextBox 90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62" name="TextBox 90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63" name="TextBox 90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64" name="TextBox 90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65" name="TextBox 90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66" name="TextBox 90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67" name="TextBox 90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68" name="TextBox 90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69" name="TextBox 90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70" name="TextBox 90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71" name="TextBox 90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72" name="TextBox 90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73" name="TextBox 90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74" name="TextBox 90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75" name="TextBox 90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76" name="TextBox 90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77" name="TextBox 90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78" name="TextBox 90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79" name="TextBox 90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80" name="TextBox 90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81" name="TextBox 90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82" name="TextBox 90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83" name="TextBox 90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84" name="TextBox 90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85" name="TextBox 90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086" name="TextBox 90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087" name="TextBox 90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088" name="TextBox 90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089" name="TextBox 90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090" name="TextBox 90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091" name="TextBox 90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92" name="TextBox 90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93" name="TextBox 90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94" name="TextBox 90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95" name="TextBox 90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96" name="TextBox 90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97" name="TextBox 90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98" name="TextBox 90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099" name="TextBox 90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00" name="TextBox 90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01" name="TextBox 91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02" name="TextBox 91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03" name="TextBox 91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04" name="TextBox 91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05" name="TextBox 91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06" name="TextBox 91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07" name="TextBox 91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08" name="TextBox 91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09" name="TextBox 91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10" name="TextBox 91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11" name="TextBox 91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12" name="TextBox 91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13" name="TextBox 91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14" name="TextBox 91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15" name="TextBox 91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16" name="TextBox 91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17" name="TextBox 91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18" name="TextBox 91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19" name="TextBox 91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20" name="TextBox 91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21" name="TextBox 91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22" name="TextBox 91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23" name="TextBox 91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24" name="TextBox 91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25" name="TextBox 91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26" name="TextBox 91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27" name="TextBox 91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28" name="TextBox 91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29" name="TextBox 91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30" name="TextBox 91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31" name="TextBox 91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32" name="TextBox 91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133" name="TextBox 91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9134" name="TextBox 91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9135" name="TextBox 91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9136" name="TextBox 91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9137" name="TextBox 91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9138" name="TextBox 91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9139" name="TextBox 91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40" name="TextBox 91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41" name="TextBox 91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42" name="TextBox 91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43" name="TextBox 91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44" name="TextBox 91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45" name="TextBox 91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146" name="TextBox 91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147" name="TextBox 91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148" name="TextBox 91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149" name="TextBox 91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150" name="TextBox 91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151" name="TextBox 91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152" name="TextBox 91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153" name="TextBox 91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154" name="TextBox 91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155" name="TextBox 91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156" name="TextBox 91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157" name="TextBox 91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58" name="TextBox 91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59" name="TextBox 91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60" name="TextBox 91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61" name="TextBox 91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62" name="TextBox 91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63" name="TextBox 91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64" name="TextBox 91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65" name="TextBox 91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66" name="TextBox 91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67" name="TextBox 91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68" name="TextBox 91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69" name="TextBox 91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170" name="TextBox 91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171" name="TextBox 91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172" name="TextBox 91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173" name="TextBox 91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174" name="TextBox 91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175" name="TextBox 91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76" name="TextBox 91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77" name="TextBox 91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78" name="TextBox 91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79" name="TextBox 91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80" name="TextBox 91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81" name="TextBox 91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82" name="TextBox 91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83" name="TextBox 91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84" name="TextBox 91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85" name="TextBox 91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86" name="TextBox 91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87" name="TextBox 91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88" name="TextBox 91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89" name="TextBox 91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90" name="TextBox 91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91" name="TextBox 91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92" name="TextBox 91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193" name="TextBox 91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194" name="TextBox 91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195" name="TextBox 91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196" name="TextBox 91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197" name="TextBox 91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198" name="TextBox 91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199" name="TextBox 91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00" name="TextBox 91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01" name="TextBox 92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02" name="TextBox 92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03" name="TextBox 92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04" name="TextBox 92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05" name="TextBox 92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06" name="TextBox 92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07" name="TextBox 92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08" name="TextBox 92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09" name="TextBox 92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10" name="TextBox 92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11" name="TextBox 92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12" name="TextBox 92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13" name="TextBox 92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14" name="TextBox 92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15" name="TextBox 92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16" name="TextBox 92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17" name="TextBox 92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18" name="TextBox 92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19" name="TextBox 92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20" name="TextBox 92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21" name="TextBox 92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22" name="TextBox 92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23" name="TextBox 92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224" name="TextBox 92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225" name="TextBox 92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226" name="TextBox 92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227" name="TextBox 92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228" name="TextBox 92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229" name="TextBox 92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30" name="TextBox 92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31" name="TextBox 92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32" name="TextBox 92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33" name="TextBox 92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34" name="TextBox 92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35" name="TextBox 92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36" name="TextBox 92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37" name="TextBox 92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38" name="TextBox 92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39" name="TextBox 92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40" name="TextBox 92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41" name="TextBox 92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42" name="TextBox 92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43" name="TextBox 92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44" name="TextBox 92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45" name="TextBox 92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46" name="TextBox 92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47" name="TextBox 92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48" name="TextBox 92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49" name="TextBox 92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50" name="TextBox 92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51" name="TextBox 92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52" name="TextBox 92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53" name="TextBox 92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54" name="TextBox 92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55" name="TextBox 92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56" name="TextBox 92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57" name="TextBox 92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58" name="TextBox 92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59" name="TextBox 92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60" name="TextBox 92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61" name="TextBox 92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62" name="TextBox 92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63" name="TextBox 92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64" name="TextBox 92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65" name="TextBox 92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66" name="TextBox 92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67" name="TextBox 92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68" name="TextBox 92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69" name="TextBox 92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70" name="TextBox 92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71" name="TextBox 92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72" name="TextBox 92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73" name="TextBox 92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74" name="TextBox 92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75" name="TextBox 92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76" name="TextBox 92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77" name="TextBox 92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78" name="TextBox 92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79" name="TextBox 92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80" name="TextBox 92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81" name="TextBox 92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82" name="TextBox 92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83" name="TextBox 92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84" name="TextBox 92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85" name="TextBox 92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86" name="TextBox 92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87" name="TextBox 92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88" name="TextBox 92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289" name="TextBox 92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90" name="TextBox 92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91" name="TextBox 92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92" name="TextBox 92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93" name="TextBox 92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94" name="TextBox 92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95" name="TextBox 92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96" name="TextBox 92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97" name="TextBox 92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98" name="TextBox 92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299" name="TextBox 92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00" name="TextBox 92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01" name="TextBox 93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02" name="TextBox 93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03" name="TextBox 93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04" name="TextBox 93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05" name="TextBox 93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06" name="TextBox 93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07" name="TextBox 93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08" name="TextBox 93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09" name="TextBox 93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10" name="TextBox 93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11" name="TextBox 93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12" name="TextBox 93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13" name="TextBox 93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314" name="TextBox 93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315" name="TextBox 93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316" name="TextBox 93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317" name="TextBox 93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318" name="TextBox 93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319" name="TextBox 93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20" name="TextBox 93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21" name="TextBox 93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22" name="TextBox 93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23" name="TextBox 93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24" name="TextBox 93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25" name="TextBox 93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26" name="TextBox 93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27" name="TextBox 93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28" name="TextBox 93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29" name="TextBox 93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30" name="TextBox 93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31" name="TextBox 93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32" name="TextBox 93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33" name="TextBox 93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34" name="TextBox 93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35" name="TextBox 93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36" name="TextBox 93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37" name="TextBox 93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38" name="TextBox 93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39" name="TextBox 93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40" name="TextBox 93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41" name="TextBox 93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42" name="TextBox 93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43" name="TextBox 93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44" name="TextBox 93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45" name="TextBox 93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46" name="TextBox 93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47" name="TextBox 93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48" name="TextBox 93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49" name="TextBox 93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50" name="TextBox 93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51" name="TextBox 93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52" name="TextBox 93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53" name="TextBox 93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54" name="TextBox 93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55" name="TextBox 93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56" name="TextBox 93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57" name="TextBox 93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58" name="TextBox 93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59" name="TextBox 93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60" name="TextBox 93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61" name="TextBox 93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62" name="TextBox 93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63" name="TextBox 93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64" name="TextBox 93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65" name="TextBox 93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66" name="TextBox 93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67" name="TextBox 93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68" name="TextBox 93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69" name="TextBox 93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70" name="TextBox 93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71" name="TextBox 93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72" name="TextBox 93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73" name="TextBox 93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74" name="TextBox 93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75" name="TextBox 93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76" name="TextBox 93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77" name="TextBox 93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78" name="TextBox 93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379" name="TextBox 93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80" name="TextBox 93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81" name="TextBox 93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82" name="TextBox 93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83" name="TextBox 93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84" name="TextBox 93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85" name="TextBox 93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86" name="TextBox 93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87" name="TextBox 93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88" name="TextBox 93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89" name="TextBox 93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90" name="TextBox 93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91" name="TextBox 93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92" name="TextBox 93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93" name="TextBox 93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94" name="TextBox 93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95" name="TextBox 93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96" name="TextBox 93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97" name="TextBox 93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98" name="TextBox 93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399" name="TextBox 93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00" name="TextBox 93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01" name="TextBox 94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02" name="TextBox 94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03" name="TextBox 94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404" name="TextBox 94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405" name="TextBox 94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406" name="TextBox 94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407" name="TextBox 94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408" name="TextBox 94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409" name="TextBox 94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10" name="TextBox 94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11" name="TextBox 94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12" name="TextBox 94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13" name="TextBox 94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14" name="TextBox 94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15" name="TextBox 94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16" name="TextBox 94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17" name="TextBox 94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18" name="TextBox 94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19" name="TextBox 94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20" name="TextBox 94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21" name="TextBox 94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22" name="TextBox 94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23" name="TextBox 94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24" name="TextBox 94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25" name="TextBox 94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26" name="TextBox 94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27" name="TextBox 94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28" name="TextBox 94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29" name="TextBox 94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30" name="TextBox 94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31" name="TextBox 94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32" name="TextBox 94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33" name="TextBox 94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434" name="TextBox 94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435" name="TextBox 94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436" name="TextBox 94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437" name="TextBox 94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438" name="TextBox 94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439" name="TextBox 94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40" name="TextBox 94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41" name="TextBox 94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42" name="TextBox 94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43" name="TextBox 94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44" name="TextBox 94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45" name="TextBox 94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46" name="TextBox 94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47" name="TextBox 94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48" name="TextBox 94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49" name="TextBox 94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50" name="TextBox 94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51" name="TextBox 94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52" name="TextBox 94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53" name="TextBox 94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54" name="TextBox 94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55" name="TextBox 94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56" name="TextBox 94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57" name="TextBox 94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58" name="TextBox 94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59" name="TextBox 94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60" name="TextBox 94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61" name="TextBox 94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62" name="TextBox 94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63" name="TextBox 94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64" name="TextBox 94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65" name="TextBox 94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66" name="TextBox 94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67" name="TextBox 94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68" name="TextBox 94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69" name="TextBox 94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70" name="TextBox 94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71" name="TextBox 94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72" name="TextBox 94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73" name="TextBox 94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74" name="TextBox 94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475" name="TextBox 94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476" name="TextBox 94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477" name="TextBox 94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478" name="TextBox 94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479" name="TextBox 94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480" name="TextBox 94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481" name="TextBox 94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482" name="TextBox 94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483" name="TextBox 94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484" name="TextBox 94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485" name="TextBox 94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486" name="TextBox 94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487" name="TextBox 94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488" name="TextBox 94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489" name="TextBox 94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490" name="TextBox 94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491" name="TextBox 94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492" name="TextBox 94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493" name="TextBox 94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494" name="TextBox 94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495" name="TextBox 94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496" name="TextBox 94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497" name="TextBox 94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498" name="TextBox 94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499" name="TextBox 94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00" name="TextBox 94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01" name="TextBox 95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02" name="TextBox 95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03" name="TextBox 95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04" name="TextBox 95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05" name="TextBox 95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06" name="TextBox 95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07" name="TextBox 95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08" name="TextBox 95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09" name="TextBox 95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10" name="TextBox 95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11" name="TextBox 95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512" name="TextBox 95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513" name="TextBox 95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514" name="TextBox 95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515" name="TextBox 95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516" name="TextBox 95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517" name="TextBox 95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18" name="TextBox 95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19" name="TextBox 95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20" name="TextBox 95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21" name="TextBox 95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22" name="TextBox 95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23" name="TextBox 95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24" name="TextBox 95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25" name="TextBox 95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26" name="TextBox 95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27" name="TextBox 95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28" name="TextBox 95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29" name="TextBox 95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30" name="TextBox 95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31" name="TextBox 95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32" name="TextBox 95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33" name="TextBox 95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34" name="TextBox 95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35" name="TextBox 95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536" name="TextBox 95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537" name="TextBox 95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538" name="TextBox 95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539" name="TextBox 95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540" name="TextBox 95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541" name="TextBox 95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42" name="TextBox 95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43" name="TextBox 95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44" name="TextBox 95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45" name="TextBox 95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46" name="TextBox 95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47" name="TextBox 95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48" name="TextBox 95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49" name="TextBox 95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50" name="TextBox 95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51" name="TextBox 95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52" name="TextBox 95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53" name="TextBox 95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54" name="TextBox 95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55" name="TextBox 95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56" name="TextBox 95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57" name="TextBox 95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58" name="TextBox 95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59" name="TextBox 95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60" name="TextBox 95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61" name="TextBox 95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62" name="TextBox 95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63" name="TextBox 95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64" name="TextBox 95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65" name="TextBox 95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566" name="TextBox 95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567" name="TextBox 95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568" name="TextBox 95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569" name="TextBox 95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570" name="TextBox 95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571" name="TextBox 95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572" name="TextBox 95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573" name="TextBox 95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574" name="TextBox 95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575" name="TextBox 95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576" name="TextBox 95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577" name="TextBox 95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78" name="TextBox 95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79" name="TextBox 95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80" name="TextBox 95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81" name="TextBox 95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82" name="TextBox 95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83" name="TextBox 95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84" name="TextBox 95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85" name="TextBox 95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86" name="TextBox 95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87" name="TextBox 95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88" name="TextBox 95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589" name="TextBox 95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590" name="TextBox 95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591" name="TextBox 95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592" name="TextBox 95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593" name="TextBox 95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594" name="TextBox 95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595" name="TextBox 95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596" name="TextBox 95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597" name="TextBox 95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598" name="TextBox 95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599" name="TextBox 95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00" name="TextBox 95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01" name="TextBox 96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602" name="TextBox 96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603" name="TextBox 96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604" name="TextBox 96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605" name="TextBox 96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606" name="TextBox 96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607" name="TextBox 96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08" name="TextBox 96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09" name="TextBox 96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10" name="TextBox 96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11" name="TextBox 96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12" name="TextBox 96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13" name="TextBox 96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14" name="TextBox 96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15" name="TextBox 96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16" name="TextBox 96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17" name="TextBox 96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18" name="TextBox 96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19" name="TextBox 96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20" name="TextBox 96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21" name="TextBox 96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22" name="TextBox 96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23" name="TextBox 96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24" name="TextBox 96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25" name="TextBox 96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626" name="TextBox 96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627" name="TextBox 96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628" name="TextBox 96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629" name="TextBox 96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630" name="TextBox 96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631" name="TextBox 96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32" name="TextBox 96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33" name="TextBox 96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34" name="TextBox 96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35" name="TextBox 96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36" name="TextBox 96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37" name="TextBox 96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38" name="TextBox 96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39" name="TextBox 96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40" name="TextBox 96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41" name="TextBox 96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42" name="TextBox 96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43" name="TextBox 96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44" name="TextBox 96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45" name="TextBox 96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46" name="TextBox 96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47" name="TextBox 96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48" name="TextBox 96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49" name="TextBox 96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50" name="TextBox 96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51" name="TextBox 96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52" name="TextBox 96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53" name="TextBox 96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54" name="TextBox 96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55" name="TextBox 96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656" name="TextBox 96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657" name="TextBox 96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658" name="TextBox 96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659" name="TextBox 96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660" name="TextBox 96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661" name="TextBox 96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62" name="TextBox 96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63" name="TextBox 96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64" name="TextBox 96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65" name="TextBox 96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66" name="TextBox 96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67" name="TextBox 96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68" name="TextBox 96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69" name="TextBox 96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70" name="TextBox 96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71" name="TextBox 96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72" name="TextBox 96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73" name="TextBox 96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74" name="TextBox 96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75" name="TextBox 96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76" name="TextBox 96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77" name="TextBox 96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78" name="TextBox 96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79" name="TextBox 96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80" name="TextBox 96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81" name="TextBox 96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82" name="TextBox 96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83" name="TextBox 96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84" name="TextBox 96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85" name="TextBox 96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86" name="TextBox 96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87" name="TextBox 96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88" name="TextBox 96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89" name="TextBox 96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90" name="TextBox 96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91" name="TextBox 96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92" name="TextBox 96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93" name="TextBox 96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94" name="TextBox 96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95" name="TextBox 96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96" name="TextBox 96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697" name="TextBox 96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698" name="TextBox 96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699" name="TextBox 96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700" name="TextBox 96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701" name="TextBox 97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702" name="TextBox 97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703" name="TextBox 97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04" name="TextBox 97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05" name="TextBox 97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06" name="TextBox 97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07" name="TextBox 97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08" name="TextBox 97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09" name="TextBox 97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710" name="TextBox 97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711" name="TextBox 97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712" name="TextBox 97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713" name="TextBox 97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714" name="TextBox 97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715" name="TextBox 97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716" name="TextBox 97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717" name="TextBox 97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718" name="TextBox 97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719" name="TextBox 97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720" name="TextBox 97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721" name="TextBox 97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22" name="TextBox 97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23" name="TextBox 97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24" name="TextBox 97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25" name="TextBox 97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26" name="TextBox 97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27" name="TextBox 97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28" name="TextBox 97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29" name="TextBox 97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30" name="TextBox 97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31" name="TextBox 97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32" name="TextBox 97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33" name="TextBox 97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734" name="TextBox 97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735" name="TextBox 97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736" name="TextBox 97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737" name="TextBox 97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738" name="TextBox 97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739" name="TextBox 97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40" name="TextBox 97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41" name="TextBox 97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42" name="TextBox 97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43" name="TextBox 97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44" name="TextBox 97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45" name="TextBox 97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46" name="TextBox 97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47" name="TextBox 97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48" name="TextBox 97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49" name="TextBox 97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50" name="TextBox 97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51" name="TextBox 97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52" name="TextBox 97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53" name="TextBox 97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54" name="TextBox 97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55" name="TextBox 97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56" name="TextBox 97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57" name="TextBox 97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758" name="TextBox 97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759" name="TextBox 97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760" name="TextBox 97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761" name="TextBox 97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762" name="TextBox 97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763" name="TextBox 97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64" name="TextBox 97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65" name="TextBox 97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66" name="TextBox 97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67" name="TextBox 97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68" name="TextBox 97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69" name="TextBox 97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70" name="TextBox 97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71" name="TextBox 97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72" name="TextBox 97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73" name="TextBox 97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74" name="TextBox 97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75" name="TextBox 97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76" name="TextBox 97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77" name="TextBox 97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78" name="TextBox 97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79" name="TextBox 97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80" name="TextBox 97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81" name="TextBox 97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82" name="TextBox 97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83" name="TextBox 97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84" name="TextBox 97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85" name="TextBox 97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86" name="TextBox 97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87" name="TextBox 97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788" name="TextBox 97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789" name="TextBox 97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790" name="TextBox 97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791" name="TextBox 97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792" name="TextBox 97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793" name="TextBox 97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94" name="TextBox 97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95" name="TextBox 97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96" name="TextBox 97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97" name="TextBox 97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98" name="TextBox 97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799" name="TextBox 97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00" name="TextBox 97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01" name="TextBox 98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02" name="TextBox 98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03" name="TextBox 98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04" name="TextBox 98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05" name="TextBox 98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06" name="TextBox 98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07" name="TextBox 98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08" name="TextBox 98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09" name="TextBox 98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10" name="TextBox 98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11" name="TextBox 98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12" name="TextBox 98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13" name="TextBox 98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14" name="TextBox 98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15" name="TextBox 98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16" name="TextBox 98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17" name="TextBox 98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18" name="TextBox 98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19" name="TextBox 98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20" name="TextBox 98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21" name="TextBox 98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22" name="TextBox 98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23" name="TextBox 98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824" name="TextBox 98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825" name="TextBox 98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826" name="TextBox 98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827" name="TextBox 98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828" name="TextBox 98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829" name="TextBox 98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30" name="TextBox 98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31" name="TextBox 98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32" name="TextBox 98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33" name="TextBox 98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34" name="TextBox 98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35" name="TextBox 98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36" name="TextBox 98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37" name="TextBox 98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38" name="TextBox 98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39" name="TextBox 98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40" name="TextBox 98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41" name="TextBox 98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42" name="TextBox 98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43" name="TextBox 98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44" name="TextBox 98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45" name="TextBox 98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46" name="TextBox 98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47" name="TextBox 98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48" name="TextBox 98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49" name="TextBox 98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50" name="TextBox 98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51" name="TextBox 98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52" name="TextBox 98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53" name="TextBox 98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54" name="TextBox 98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55" name="TextBox 98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56" name="TextBox 98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57" name="TextBox 98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58" name="TextBox 98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59" name="TextBox 98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860" name="TextBox 98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861" name="TextBox 98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862" name="TextBox 98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863" name="TextBox 98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864" name="TextBox 98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865" name="TextBox 98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66" name="TextBox 98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67" name="TextBox 98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68" name="TextBox 98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69" name="TextBox 98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70" name="TextBox 98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71" name="TextBox 98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72" name="TextBox 98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73" name="TextBox 98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74" name="TextBox 98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75" name="TextBox 98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76" name="TextBox 98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77" name="TextBox 98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78" name="TextBox 98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79" name="TextBox 98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80" name="TextBox 98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81" name="TextBox 98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82" name="TextBox 98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83" name="TextBox 98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84" name="TextBox 98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85" name="TextBox 98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86" name="TextBox 98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87" name="TextBox 98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88" name="TextBox 98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89" name="TextBox 98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90" name="TextBox 98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91" name="TextBox 98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92" name="TextBox 98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93" name="TextBox 98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94" name="TextBox 98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95" name="TextBox 98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96" name="TextBox 98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97" name="TextBox 98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98" name="TextBox 98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899" name="TextBox 98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900" name="TextBox 98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901" name="TextBox 99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902" name="TextBox 99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903" name="TextBox 99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904" name="TextBox 99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905" name="TextBox 99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906" name="TextBox 99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9907" name="TextBox 99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908" name="TextBox 99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909" name="TextBox 99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910" name="TextBox 99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911" name="TextBox 99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912" name="TextBox 99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9913" name="TextBox 99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14" name="TextBox 99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15" name="TextBox 99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16" name="TextBox 99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17" name="TextBox 99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18" name="TextBox 99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19" name="TextBox 99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920" name="TextBox 99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921" name="TextBox 99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922" name="TextBox 99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923" name="TextBox 99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924" name="TextBox 99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925" name="TextBox 99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926" name="TextBox 99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927" name="TextBox 99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928" name="TextBox 99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929" name="TextBox 99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930" name="TextBox 99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931" name="TextBox 99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32" name="TextBox 99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33" name="TextBox 99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34" name="TextBox 99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35" name="TextBox 99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36" name="TextBox 99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37" name="TextBox 99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38" name="TextBox 99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39" name="TextBox 99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40" name="TextBox 99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41" name="TextBox 99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42" name="TextBox 99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43" name="TextBox 99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944" name="TextBox 99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945" name="TextBox 99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946" name="TextBox 99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947" name="TextBox 99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948" name="TextBox 99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949" name="TextBox 99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50" name="TextBox 99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51" name="TextBox 99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52" name="TextBox 99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53" name="TextBox 99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54" name="TextBox 99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55" name="TextBox 99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56" name="TextBox 99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57" name="TextBox 99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58" name="TextBox 99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59" name="TextBox 99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60" name="TextBox 99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61" name="TextBox 99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62" name="TextBox 99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63" name="TextBox 99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64" name="TextBox 99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65" name="TextBox 99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66" name="TextBox 99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67" name="TextBox 99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968" name="TextBox 99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969" name="TextBox 99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970" name="TextBox 99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971" name="TextBox 99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972" name="TextBox 99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973" name="TextBox 99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74" name="TextBox 99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75" name="TextBox 99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76" name="TextBox 99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77" name="TextBox 99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78" name="TextBox 99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79" name="TextBox 99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80" name="TextBox 99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81" name="TextBox 99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82" name="TextBox 99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83" name="TextBox 99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84" name="TextBox 99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85" name="TextBox 99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86" name="TextBox 99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87" name="TextBox 99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88" name="TextBox 99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89" name="TextBox 99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90" name="TextBox 99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91" name="TextBox 99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92" name="TextBox 99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93" name="TextBox 99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94" name="TextBox 99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95" name="TextBox 99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96" name="TextBox 99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9997" name="TextBox 99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998" name="TextBox 99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9999" name="TextBox 99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10000" name="TextBox 99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10001" name="TextBox 100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10002" name="TextBox 100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10003" name="TextBox 100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04" name="TextBox 100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05" name="TextBox 100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06" name="TextBox 100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07" name="TextBox 100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08" name="TextBox 100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09" name="TextBox 100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010" name="TextBox 100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011" name="TextBox 100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012" name="TextBox 100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013" name="TextBox 100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014" name="TextBox 100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015" name="TextBox 100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016" name="TextBox 100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017" name="TextBox 100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018" name="TextBox 100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019" name="TextBox 100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020" name="TextBox 100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021" name="TextBox 100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22" name="TextBox 100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23" name="TextBox 100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24" name="TextBox 100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25" name="TextBox 100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26" name="TextBox 100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27" name="TextBox 100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28" name="TextBox 100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29" name="TextBox 100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30" name="TextBox 100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31" name="TextBox 100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32" name="TextBox 100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33" name="TextBox 100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034" name="TextBox 100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035" name="TextBox 100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036" name="TextBox 100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037" name="TextBox 100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038" name="TextBox 100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039" name="TextBox 100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40" name="TextBox 100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41" name="TextBox 100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42" name="TextBox 100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43" name="TextBox 100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44" name="TextBox 100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45" name="TextBox 100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46" name="TextBox 100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47" name="TextBox 100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48" name="TextBox 100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49" name="TextBox 100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50" name="TextBox 100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51" name="TextBox 100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52" name="TextBox 100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53" name="TextBox 100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54" name="TextBox 100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55" name="TextBox 100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56" name="TextBox 100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57" name="TextBox 100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058" name="TextBox 100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059" name="TextBox 100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060" name="TextBox 100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061" name="TextBox 100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062" name="TextBox 100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063" name="TextBox 100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64" name="TextBox 100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65" name="TextBox 100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66" name="TextBox 100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67" name="TextBox 100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68" name="TextBox 100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69" name="TextBox 100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70" name="TextBox 100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71" name="TextBox 100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72" name="TextBox 100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73" name="TextBox 100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74" name="TextBox 100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75" name="TextBox 100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76" name="TextBox 100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77" name="TextBox 100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78" name="TextBox 100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79" name="TextBox 100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80" name="TextBox 100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81" name="TextBox 100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82" name="TextBox 100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83" name="TextBox 100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84" name="TextBox 100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85" name="TextBox 100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86" name="TextBox 100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087" name="TextBox 100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088" name="TextBox 100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089" name="TextBox 100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090" name="TextBox 100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091" name="TextBox 100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092" name="TextBox 100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093" name="TextBox 100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094" name="TextBox 100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095" name="TextBox 100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096" name="TextBox 100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097" name="TextBox 100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098" name="TextBox 100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099" name="TextBox 100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100" name="TextBox 100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101" name="TextBox 101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102" name="TextBox 101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103" name="TextBox 101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104" name="TextBox 101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105" name="TextBox 101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106" name="TextBox 101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107" name="TextBox 101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108" name="TextBox 101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109" name="TextBox 101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110" name="TextBox 101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111" name="TextBox 101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12" name="TextBox 101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13" name="TextBox 101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14" name="TextBox 101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15" name="TextBox 101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16" name="TextBox 101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17" name="TextBox 101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18" name="TextBox 101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19" name="TextBox 101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20" name="TextBox 101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21" name="TextBox 101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22" name="TextBox 101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23" name="TextBox 101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124" name="TextBox 101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125" name="TextBox 101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126" name="TextBox 101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127" name="TextBox 101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128" name="TextBox 101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129" name="TextBox 101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30" name="TextBox 101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31" name="TextBox 101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32" name="TextBox 101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33" name="TextBox 101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34" name="TextBox 101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35" name="TextBox 101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36" name="TextBox 101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37" name="TextBox 101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38" name="TextBox 101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39" name="TextBox 101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40" name="TextBox 101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41" name="TextBox 101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42" name="TextBox 101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43" name="TextBox 101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44" name="TextBox 101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45" name="TextBox 101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46" name="TextBox 101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47" name="TextBox 101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148" name="TextBox 101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149" name="TextBox 101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150" name="TextBox 101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151" name="TextBox 101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152" name="TextBox 101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153" name="TextBox 101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54" name="TextBox 101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55" name="TextBox 101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56" name="TextBox 101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57" name="TextBox 101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58" name="TextBox 101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59" name="TextBox 101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60" name="TextBox 101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61" name="TextBox 101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62" name="TextBox 101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63" name="TextBox 101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64" name="TextBox 101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65" name="TextBox 101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66" name="TextBox 101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67" name="TextBox 101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68" name="TextBox 101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69" name="TextBox 101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70" name="TextBox 101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71" name="TextBox 101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72" name="TextBox 101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73" name="TextBox 101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74" name="TextBox 101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75" name="TextBox 101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76" name="TextBox 101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77" name="TextBox 101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178" name="TextBox 101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179" name="TextBox 101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180" name="TextBox 101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181" name="TextBox 101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182" name="TextBox 101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183" name="TextBox 101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84" name="TextBox 101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85" name="TextBox 101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86" name="TextBox 101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87" name="TextBox 101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88" name="TextBox 101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89" name="TextBox 101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90" name="TextBox 101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91" name="TextBox 101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92" name="TextBox 101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93" name="TextBox 101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94" name="TextBox 101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95" name="TextBox 101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96" name="TextBox 101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97" name="TextBox 101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98" name="TextBox 101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199" name="TextBox 101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00" name="TextBox 101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01" name="TextBox 102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02" name="TextBox 102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03" name="TextBox 102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04" name="TextBox 102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05" name="TextBox 102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06" name="TextBox 102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07" name="TextBox 102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08" name="TextBox 102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09" name="TextBox 102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10" name="TextBox 102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11" name="TextBox 102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12" name="TextBox 102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13" name="TextBox 102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14" name="TextBox 102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15" name="TextBox 102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16" name="TextBox 102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17" name="TextBox 102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18" name="TextBox 102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19" name="TextBox 102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20" name="TextBox 102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21" name="TextBox 102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22" name="TextBox 102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23" name="TextBox 102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24" name="TextBox 102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25" name="TextBox 102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26" name="TextBox 102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27" name="TextBox 102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28" name="TextBox 102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29" name="TextBox 102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30" name="TextBox 102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31" name="TextBox 102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32" name="TextBox 102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33" name="TextBox 102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34" name="TextBox 102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35" name="TextBox 102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36" name="TextBox 102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37" name="TextBox 102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38" name="TextBox 102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39" name="TextBox 102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40" name="TextBox 102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41" name="TextBox 102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42" name="TextBox 102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43" name="TextBox 102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44" name="TextBox 102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45" name="TextBox 102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46" name="TextBox 102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47" name="TextBox 102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48" name="TextBox 102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249" name="TextBox 102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10250" name="TextBox 102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10251" name="TextBox 102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10252" name="TextBox 102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10253" name="TextBox 102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10254" name="TextBox 102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10255" name="TextBox 102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56" name="TextBox 102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57" name="TextBox 102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58" name="TextBox 102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59" name="TextBox 102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60" name="TextBox 102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61" name="TextBox 102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262" name="TextBox 102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263" name="TextBox 102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264" name="TextBox 102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265" name="TextBox 102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266" name="TextBox 102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267" name="TextBox 102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268" name="TextBox 102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269" name="TextBox 102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270" name="TextBox 102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271" name="TextBox 102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272" name="TextBox 102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273" name="TextBox 102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74" name="TextBox 102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75" name="TextBox 102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76" name="TextBox 102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77" name="TextBox 102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78" name="TextBox 102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79" name="TextBox 102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80" name="TextBox 102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81" name="TextBox 102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82" name="TextBox 102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83" name="TextBox 102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84" name="TextBox 102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85" name="TextBox 102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286" name="TextBox 102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287" name="TextBox 102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288" name="TextBox 102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289" name="TextBox 102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290" name="TextBox 102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291" name="TextBox 102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92" name="TextBox 102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93" name="TextBox 102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94" name="TextBox 102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95" name="TextBox 102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96" name="TextBox 102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97" name="TextBox 102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98" name="TextBox 102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299" name="TextBox 102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00" name="TextBox 102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01" name="TextBox 103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02" name="TextBox 103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03" name="TextBox 103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04" name="TextBox 103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05" name="TextBox 103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06" name="TextBox 103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07" name="TextBox 103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08" name="TextBox 103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09" name="TextBox 103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310" name="TextBox 103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311" name="TextBox 103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312" name="TextBox 103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313" name="TextBox 103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314" name="TextBox 103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315" name="TextBox 103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16" name="TextBox 103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17" name="TextBox 103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18" name="TextBox 103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19" name="TextBox 103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20" name="TextBox 103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21" name="TextBox 103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22" name="TextBox 103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23" name="TextBox 103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24" name="TextBox 103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25" name="TextBox 103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26" name="TextBox 103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27" name="TextBox 103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28" name="TextBox 103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29" name="TextBox 103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30" name="TextBox 103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31" name="TextBox 103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32" name="TextBox 103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33" name="TextBox 103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34" name="TextBox 103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35" name="TextBox 103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36" name="TextBox 103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37" name="TextBox 103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38" name="TextBox 103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39" name="TextBox 103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340" name="TextBox 103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341" name="TextBox 103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342" name="TextBox 103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343" name="TextBox 103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344" name="TextBox 103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345" name="TextBox 103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46" name="TextBox 103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47" name="TextBox 103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48" name="TextBox 103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49" name="TextBox 103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50" name="TextBox 103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51" name="TextBox 103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52" name="TextBox 103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53" name="TextBox 103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54" name="TextBox 103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55" name="TextBox 103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56" name="TextBox 103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57" name="TextBox 103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58" name="TextBox 103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59" name="TextBox 103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60" name="TextBox 103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61" name="TextBox 103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62" name="TextBox 103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63" name="TextBox 103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64" name="TextBox 103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65" name="TextBox 103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66" name="TextBox 103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67" name="TextBox 103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68" name="TextBox 103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69" name="TextBox 103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70" name="TextBox 103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71" name="TextBox 103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72" name="TextBox 103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73" name="TextBox 103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74" name="TextBox 103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75" name="TextBox 103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76" name="TextBox 103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77" name="TextBox 103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78" name="TextBox 103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79" name="TextBox 103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80" name="TextBox 103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381" name="TextBox 103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82" name="TextBox 103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83" name="TextBox 103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84" name="TextBox 103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85" name="TextBox 103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86" name="TextBox 103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87" name="TextBox 103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88" name="TextBox 103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89" name="TextBox 103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90" name="TextBox 103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91" name="TextBox 103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92" name="TextBox 103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93" name="TextBox 103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94" name="TextBox 103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95" name="TextBox 103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96" name="TextBox 103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97" name="TextBox 103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98" name="TextBox 103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399" name="TextBox 103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400" name="TextBox 103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401" name="TextBox 104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402" name="TextBox 104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403" name="TextBox 104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404" name="TextBox 104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405" name="TextBox 104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06" name="TextBox 104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07" name="TextBox 104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08" name="TextBox 104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09" name="TextBox 104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10" name="TextBox 104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11" name="TextBox 104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12" name="TextBox 104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13" name="TextBox 104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14" name="TextBox 104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15" name="TextBox 104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16" name="TextBox 104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17" name="TextBox 104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18" name="TextBox 104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19" name="TextBox 104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20" name="TextBox 104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21" name="TextBox 104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22" name="TextBox 104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23" name="TextBox 104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24" name="TextBox 104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25" name="TextBox 104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26" name="TextBox 104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27" name="TextBox 104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28" name="TextBox 104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29" name="TextBox 104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430" name="TextBox 104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431" name="TextBox 104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432" name="TextBox 104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433" name="TextBox 104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434" name="TextBox 104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435" name="TextBox 104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36" name="TextBox 104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37" name="TextBox 104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38" name="TextBox 104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39" name="TextBox 104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40" name="TextBox 104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41" name="TextBox 104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42" name="TextBox 104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43" name="TextBox 104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44" name="TextBox 104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45" name="TextBox 104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46" name="TextBox 104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47" name="TextBox 104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48" name="TextBox 104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49" name="TextBox 104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50" name="TextBox 104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51" name="TextBox 104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52" name="TextBox 104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53" name="TextBox 104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54" name="TextBox 104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55" name="TextBox 104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56" name="TextBox 104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57" name="TextBox 104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58" name="TextBox 104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59" name="TextBox 104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60" name="TextBox 104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61" name="TextBox 104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62" name="TextBox 104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63" name="TextBox 104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64" name="TextBox 104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65" name="TextBox 104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66" name="TextBox 104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67" name="TextBox 104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68" name="TextBox 104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69" name="TextBox 104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70" name="TextBox 104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71" name="TextBox 104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472" name="TextBox 104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473" name="TextBox 104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474" name="TextBox 104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475" name="TextBox 104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476" name="TextBox 104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477" name="TextBox 104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78" name="TextBox 104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79" name="TextBox 104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80" name="TextBox 104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81" name="TextBox 104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82" name="TextBox 104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83" name="TextBox 104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484" name="TextBox 104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485" name="TextBox 104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486" name="TextBox 104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487" name="TextBox 104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488" name="TextBox 104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489" name="TextBox 104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490" name="TextBox 104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491" name="TextBox 104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492" name="TextBox 104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493" name="TextBox 104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494" name="TextBox 104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495" name="TextBox 104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96" name="TextBox 104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97" name="TextBox 104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98" name="TextBox 104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499" name="TextBox 104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00" name="TextBox 104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01" name="TextBox 105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02" name="TextBox 105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03" name="TextBox 105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04" name="TextBox 105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05" name="TextBox 105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06" name="TextBox 105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07" name="TextBox 105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508" name="TextBox 105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509" name="TextBox 105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510" name="TextBox 105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511" name="TextBox 105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512" name="TextBox 105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513" name="TextBox 105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14" name="TextBox 105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15" name="TextBox 105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16" name="TextBox 105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17" name="TextBox 105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18" name="TextBox 105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19" name="TextBox 105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20" name="TextBox 105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21" name="TextBox 105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22" name="TextBox 105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23" name="TextBox 105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24" name="TextBox 105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25" name="TextBox 105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26" name="TextBox 105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27" name="TextBox 105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28" name="TextBox 105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29" name="TextBox 105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30" name="TextBox 105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31" name="TextBox 105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532" name="TextBox 105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533" name="TextBox 105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534" name="TextBox 105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535" name="TextBox 105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536" name="TextBox 105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537" name="TextBox 105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38" name="TextBox 105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39" name="TextBox 105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40" name="TextBox 105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41" name="TextBox 105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42" name="TextBox 105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43" name="TextBox 105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44" name="TextBox 105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45" name="TextBox 105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46" name="TextBox 105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47" name="TextBox 105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48" name="TextBox 105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49" name="TextBox 105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50" name="TextBox 105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51" name="TextBox 105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52" name="TextBox 105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53" name="TextBox 105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54" name="TextBox 105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55" name="TextBox 105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56" name="TextBox 105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57" name="TextBox 105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58" name="TextBox 105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59" name="TextBox 105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60" name="TextBox 105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61" name="TextBox 105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562" name="TextBox 105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563" name="TextBox 105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564" name="TextBox 105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565" name="TextBox 105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566" name="TextBox 105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567" name="TextBox 105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68" name="TextBox 105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69" name="TextBox 105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70" name="TextBox 105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71" name="TextBox 105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72" name="TextBox 105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73" name="TextBox 105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74" name="TextBox 105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75" name="TextBox 105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76" name="TextBox 105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77" name="TextBox 105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78" name="TextBox 105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79" name="TextBox 105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80" name="TextBox 105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81" name="TextBox 105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82" name="TextBox 105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83" name="TextBox 105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84" name="TextBox 105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85" name="TextBox 105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86" name="TextBox 105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87" name="TextBox 105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88" name="TextBox 105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89" name="TextBox 105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90" name="TextBox 105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91" name="TextBox 105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92" name="TextBox 105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93" name="TextBox 105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94" name="TextBox 105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95" name="TextBox 105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96" name="TextBox 105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597" name="TextBox 105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598" name="TextBox 105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599" name="TextBox 105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600" name="TextBox 105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601" name="TextBox 106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602" name="TextBox 106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603" name="TextBox 106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04" name="TextBox 106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05" name="TextBox 106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06" name="TextBox 106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07" name="TextBox 106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08" name="TextBox 106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09" name="TextBox 106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10" name="TextBox 106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11" name="TextBox 106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12" name="TextBox 106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13" name="TextBox 106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14" name="TextBox 106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15" name="TextBox 106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16" name="TextBox 106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17" name="TextBox 106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18" name="TextBox 106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19" name="TextBox 106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20" name="TextBox 106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21" name="TextBox 106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22" name="TextBox 106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23" name="TextBox 106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24" name="TextBox 106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25" name="TextBox 106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26" name="TextBox 106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27" name="TextBox 106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28" name="TextBox 106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29" name="TextBox 106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30" name="TextBox 106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31" name="TextBox 106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32" name="TextBox 106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33" name="TextBox 106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634" name="TextBox 106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635" name="TextBox 106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636" name="TextBox 106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637" name="TextBox 106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638" name="TextBox 106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639" name="TextBox 106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40" name="TextBox 106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41" name="TextBox 106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42" name="TextBox 106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43" name="TextBox 106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44" name="TextBox 106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45" name="TextBox 106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46" name="TextBox 106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47" name="TextBox 106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48" name="TextBox 106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49" name="TextBox 106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50" name="TextBox 106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51" name="TextBox 106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52" name="TextBox 106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53" name="TextBox 106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54" name="TextBox 106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55" name="TextBox 106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56" name="TextBox 106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57" name="TextBox 106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58" name="TextBox 106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59" name="TextBox 106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60" name="TextBox 106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61" name="TextBox 106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62" name="TextBox 106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63" name="TextBox 106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64" name="TextBox 106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65" name="TextBox 106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66" name="TextBox 106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67" name="TextBox 106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68" name="TextBox 106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69" name="TextBox 106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70" name="TextBox 106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71" name="TextBox 106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72" name="TextBox 106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73" name="TextBox 106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74" name="TextBox 106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75" name="TextBox 106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76" name="TextBox 106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77" name="TextBox 106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78" name="TextBox 106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79" name="TextBox 106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80" name="TextBox 106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681" name="TextBox 106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10682" name="TextBox 106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10683" name="TextBox 106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10684" name="TextBox 106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10685" name="TextBox 106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10686" name="TextBox 106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10687" name="TextBox 106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688" name="TextBox 106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689" name="TextBox 106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690" name="TextBox 106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691" name="TextBox 106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692" name="TextBox 106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693" name="TextBox 106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694" name="TextBox 106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695" name="TextBox 106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696" name="TextBox 106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697" name="TextBox 106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698" name="TextBox 106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699" name="TextBox 106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700" name="TextBox 106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701" name="TextBox 107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702" name="TextBox 107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703" name="TextBox 107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704" name="TextBox 107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705" name="TextBox 107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06" name="TextBox 107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07" name="TextBox 107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08" name="TextBox 107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09" name="TextBox 107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10" name="TextBox 107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11" name="TextBox 107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12" name="TextBox 107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13" name="TextBox 107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14" name="TextBox 107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15" name="TextBox 107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16" name="TextBox 107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17" name="TextBox 107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718" name="TextBox 107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719" name="TextBox 107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720" name="TextBox 107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721" name="TextBox 107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722" name="TextBox 107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723" name="TextBox 107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24" name="TextBox 107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25" name="TextBox 107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26" name="TextBox 107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27" name="TextBox 107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28" name="TextBox 107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29" name="TextBox 107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30" name="TextBox 107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31" name="TextBox 107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32" name="TextBox 107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33" name="TextBox 107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34" name="TextBox 107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35" name="TextBox 107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36" name="TextBox 107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37" name="TextBox 107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38" name="TextBox 107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39" name="TextBox 107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40" name="TextBox 107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41" name="TextBox 107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742" name="TextBox 107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743" name="TextBox 107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744" name="TextBox 107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745" name="TextBox 107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746" name="TextBox 107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747" name="TextBox 107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48" name="TextBox 107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49" name="TextBox 107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50" name="TextBox 107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51" name="TextBox 107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52" name="TextBox 107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53" name="TextBox 107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54" name="TextBox 107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55" name="TextBox 107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56" name="TextBox 107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57" name="TextBox 107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58" name="TextBox 107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59" name="TextBox 107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60" name="TextBox 107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61" name="TextBox 107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62" name="TextBox 107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63" name="TextBox 107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64" name="TextBox 107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65" name="TextBox 107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66" name="TextBox 107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67" name="TextBox 107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68" name="TextBox 107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69" name="TextBox 107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70" name="TextBox 107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71" name="TextBox 107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772" name="TextBox 107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773" name="TextBox 107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774" name="TextBox 107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775" name="TextBox 107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776" name="TextBox 107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0777" name="TextBox 107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778" name="TextBox 107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779" name="TextBox 107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780" name="TextBox 107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781" name="TextBox 107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782" name="TextBox 107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783" name="TextBox 107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84" name="TextBox 107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85" name="TextBox 107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86" name="TextBox 107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87" name="TextBox 107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88" name="TextBox 107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89" name="TextBox 107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90" name="TextBox 107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91" name="TextBox 107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92" name="TextBox 107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93" name="TextBox 107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94" name="TextBox 107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795" name="TextBox 107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796" name="TextBox 107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797" name="TextBox 107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798" name="TextBox 107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799" name="TextBox 107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00" name="TextBox 107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01" name="TextBox 108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02" name="TextBox 108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03" name="TextBox 108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04" name="TextBox 108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05" name="TextBox 108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06" name="TextBox 108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07" name="TextBox 108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808" name="TextBox 108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809" name="TextBox 108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810" name="TextBox 108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811" name="TextBox 108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812" name="TextBox 108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813" name="TextBox 108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14" name="TextBox 108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15" name="TextBox 108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16" name="TextBox 108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17" name="TextBox 108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18" name="TextBox 108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19" name="TextBox 108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20" name="TextBox 108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21" name="TextBox 108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22" name="TextBox 108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23" name="TextBox 108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24" name="TextBox 108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25" name="TextBox 108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26" name="TextBox 108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27" name="TextBox 108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28" name="TextBox 108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29" name="TextBox 108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30" name="TextBox 108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31" name="TextBox 108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832" name="TextBox 108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833" name="TextBox 108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834" name="TextBox 108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835" name="TextBox 108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836" name="TextBox 108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837" name="TextBox 108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38" name="TextBox 108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39" name="TextBox 108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40" name="TextBox 108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41" name="TextBox 108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42" name="TextBox 108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43" name="TextBox 108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44" name="TextBox 108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45" name="TextBox 108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46" name="TextBox 108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47" name="TextBox 108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48" name="TextBox 108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49" name="TextBox 108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50" name="TextBox 108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51" name="TextBox 108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52" name="TextBox 108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53" name="TextBox 108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54" name="TextBox 108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55" name="TextBox 108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56" name="TextBox 108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57" name="TextBox 108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58" name="TextBox 108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59" name="TextBox 108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60" name="TextBox 108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61" name="TextBox 108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862" name="TextBox 108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863" name="TextBox 108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864" name="TextBox 108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865" name="TextBox 108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866" name="TextBox 108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0867" name="TextBox 108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868" name="TextBox 108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869" name="TextBox 108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870" name="TextBox 108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871" name="TextBox 108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872" name="TextBox 108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873" name="TextBox 108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74" name="TextBox 108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75" name="TextBox 108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76" name="TextBox 108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77" name="TextBox 108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78" name="TextBox 108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79" name="TextBox 108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80" name="TextBox 108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81" name="TextBox 108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82" name="TextBox 108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83" name="TextBox 108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84" name="TextBox 108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85" name="TextBox 108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886" name="TextBox 108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887" name="TextBox 108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888" name="TextBox 108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889" name="TextBox 108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890" name="TextBox 108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891" name="TextBox 108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892" name="TextBox 108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893" name="TextBox 108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894" name="TextBox 108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895" name="TextBox 108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896" name="TextBox 108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897" name="TextBox 108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98" name="TextBox 108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899" name="TextBox 108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900" name="TextBox 108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901" name="TextBox 109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902" name="TextBox 109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903" name="TextBox 109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04" name="TextBox 109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05" name="TextBox 109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06" name="TextBox 109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07" name="TextBox 109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08" name="TextBox 109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09" name="TextBox 109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10" name="TextBox 109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11" name="TextBox 109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12" name="TextBox 109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13" name="TextBox 109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14" name="TextBox 109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15" name="TextBox 109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16" name="TextBox 109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17" name="TextBox 109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18" name="TextBox 109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19" name="TextBox 109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20" name="TextBox 109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21" name="TextBox 109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922" name="TextBox 109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923" name="TextBox 109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924" name="TextBox 109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925" name="TextBox 109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926" name="TextBox 109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927" name="TextBox 109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28" name="TextBox 109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29" name="TextBox 109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30" name="TextBox 109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31" name="TextBox 109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32" name="TextBox 109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33" name="TextBox 109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34" name="TextBox 109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35" name="TextBox 109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36" name="TextBox 109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37" name="TextBox 109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38" name="TextBox 109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39" name="TextBox 109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40" name="TextBox 109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41" name="TextBox 109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42" name="TextBox 109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43" name="TextBox 109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44" name="TextBox 109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45" name="TextBox 109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46" name="TextBox 109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47" name="TextBox 109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48" name="TextBox 109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49" name="TextBox 109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50" name="TextBox 109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51" name="TextBox 109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952" name="TextBox 109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953" name="TextBox 109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954" name="TextBox 109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955" name="TextBox 109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956" name="TextBox 109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957" name="TextBox 109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58" name="TextBox 109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59" name="TextBox 109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60" name="TextBox 109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61" name="TextBox 109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62" name="TextBox 109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63" name="TextBox 109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64" name="TextBox 109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65" name="TextBox 109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66" name="TextBox 109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67" name="TextBox 109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68" name="TextBox 109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69" name="TextBox 109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70" name="TextBox 109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71" name="TextBox 109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72" name="TextBox 109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73" name="TextBox 109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74" name="TextBox 109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75" name="TextBox 109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76" name="TextBox 109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77" name="TextBox 109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78" name="TextBox 109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79" name="TextBox 109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80" name="TextBox 109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81" name="TextBox 109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982" name="TextBox 109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983" name="TextBox 109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984" name="TextBox 109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985" name="TextBox 109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986" name="TextBox 109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0987" name="TextBox 109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88" name="TextBox 109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89" name="TextBox 109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90" name="TextBox 109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91" name="TextBox 109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92" name="TextBox 109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93" name="TextBox 109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94" name="TextBox 109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95" name="TextBox 109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96" name="TextBox 109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97" name="TextBox 109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98" name="TextBox 109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0999" name="TextBox 109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000" name="TextBox 109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001" name="TextBox 110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002" name="TextBox 110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003" name="TextBox 110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004" name="TextBox 110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005" name="TextBox 110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006" name="TextBox 110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007" name="TextBox 110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008" name="TextBox 110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009" name="TextBox 110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010" name="TextBox 110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011" name="TextBox 110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012" name="TextBox 110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013" name="TextBox 110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014" name="TextBox 110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015" name="TextBox 110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016" name="TextBox 110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017" name="TextBox 110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018" name="TextBox 110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019" name="TextBox 110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020" name="TextBox 110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021" name="TextBox 110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022" name="TextBox 110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023" name="TextBox 110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1024" name="TextBox 110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1025" name="TextBox 110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1026" name="TextBox 110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1027" name="TextBox 110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1028" name="TextBox 110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11029" name="TextBox 110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30" name="TextBox 110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31" name="TextBox 110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32" name="TextBox 110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33" name="TextBox 110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34" name="TextBox 110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35" name="TextBox 110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036" name="TextBox 110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037" name="TextBox 110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038" name="TextBox 110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039" name="TextBox 110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040" name="TextBox 110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041" name="TextBox 110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042" name="TextBox 110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043" name="TextBox 110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044" name="TextBox 110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045" name="TextBox 110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046" name="TextBox 110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047" name="TextBox 110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48" name="TextBox 110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49" name="TextBox 110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50" name="TextBox 110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51" name="TextBox 110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52" name="TextBox 110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53" name="TextBox 110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54" name="TextBox 110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55" name="TextBox 110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56" name="TextBox 110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57" name="TextBox 110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58" name="TextBox 110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59" name="TextBox 110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060" name="TextBox 110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061" name="TextBox 110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062" name="TextBox 110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063" name="TextBox 110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064" name="TextBox 110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065" name="TextBox 110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66" name="TextBox 110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67" name="TextBox 110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68" name="TextBox 110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69" name="TextBox 110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70" name="TextBox 110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71" name="TextBox 110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72" name="TextBox 110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73" name="TextBox 110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74" name="TextBox 110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75" name="TextBox 110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76" name="TextBox 110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77" name="TextBox 110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78" name="TextBox 110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79" name="TextBox 110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80" name="TextBox 110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81" name="TextBox 110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82" name="TextBox 110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83" name="TextBox 110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084" name="TextBox 110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085" name="TextBox 110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086" name="TextBox 110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087" name="TextBox 110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088" name="TextBox 110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089" name="TextBox 110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90" name="TextBox 110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91" name="TextBox 110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92" name="TextBox 110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93" name="TextBox 110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94" name="TextBox 110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95" name="TextBox 110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96" name="TextBox 110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97" name="TextBox 110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98" name="TextBox 110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099" name="TextBox 110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00" name="TextBox 110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01" name="TextBox 111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02" name="TextBox 111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03" name="TextBox 111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04" name="TextBox 111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05" name="TextBox 111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06" name="TextBox 111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07" name="TextBox 111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08" name="TextBox 111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09" name="TextBox 111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10" name="TextBox 111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11" name="TextBox 111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12" name="TextBox 111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13" name="TextBox 111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114" name="TextBox 111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115" name="TextBox 111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116" name="TextBox 111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117" name="TextBox 111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118" name="TextBox 111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119" name="TextBox 111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20" name="TextBox 111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21" name="TextBox 111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22" name="TextBox 111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23" name="TextBox 111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24" name="TextBox 111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25" name="TextBox 111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26" name="TextBox 111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27" name="TextBox 111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28" name="TextBox 111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29" name="TextBox 111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30" name="TextBox 111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31" name="TextBox 111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32" name="TextBox 111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33" name="TextBox 111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34" name="TextBox 111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35" name="TextBox 111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36" name="TextBox 111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37" name="TextBox 111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38" name="TextBox 111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39" name="TextBox 111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40" name="TextBox 111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41" name="TextBox 111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42" name="TextBox 111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43" name="TextBox 111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44" name="TextBox 111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45" name="TextBox 111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46" name="TextBox 111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47" name="TextBox 111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48" name="TextBox 111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49" name="TextBox 111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50" name="TextBox 111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51" name="TextBox 111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52" name="TextBox 111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53" name="TextBox 111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54" name="TextBox 111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55" name="TextBox 111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56" name="TextBox 111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57" name="TextBox 111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58" name="TextBox 111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59" name="TextBox 111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60" name="TextBox 111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61" name="TextBox 111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62" name="TextBox 111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63" name="TextBox 111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64" name="TextBox 111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65" name="TextBox 111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66" name="TextBox 111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67" name="TextBox 111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68" name="TextBox 111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69" name="TextBox 111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70" name="TextBox 111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71" name="TextBox 111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72" name="TextBox 111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73" name="TextBox 111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74" name="TextBox 111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75" name="TextBox 111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76" name="TextBox 111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77" name="TextBox 111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78" name="TextBox 111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179" name="TextBox 111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80" name="TextBox 111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81" name="TextBox 111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82" name="TextBox 111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83" name="TextBox 111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84" name="TextBox 111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85" name="TextBox 111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86" name="TextBox 111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87" name="TextBox 111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88" name="TextBox 111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89" name="TextBox 111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90" name="TextBox 111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91" name="TextBox 111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92" name="TextBox 111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93" name="TextBox 111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94" name="TextBox 111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95" name="TextBox 111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96" name="TextBox 111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97" name="TextBox 111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98" name="TextBox 111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199" name="TextBox 111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00" name="TextBox 111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01" name="TextBox 112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02" name="TextBox 112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03" name="TextBox 112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204" name="TextBox 112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205" name="TextBox 112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206" name="TextBox 112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207" name="TextBox 112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208" name="TextBox 112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209" name="TextBox 112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10" name="TextBox 112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11" name="TextBox 112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12" name="TextBox 112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13" name="TextBox 112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14" name="TextBox 112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15" name="TextBox 112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16" name="TextBox 112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17" name="TextBox 112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18" name="TextBox 112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19" name="TextBox 112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20" name="TextBox 112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21" name="TextBox 112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22" name="TextBox 112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23" name="TextBox 112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24" name="TextBox 112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25" name="TextBox 112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26" name="TextBox 112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27" name="TextBox 112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28" name="TextBox 112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29" name="TextBox 112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30" name="TextBox 112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31" name="TextBox 112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32" name="TextBox 112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33" name="TextBox 112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34" name="TextBox 112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35" name="TextBox 112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36" name="TextBox 112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37" name="TextBox 112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38" name="TextBox 112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39" name="TextBox 112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40" name="TextBox 112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41" name="TextBox 112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42" name="TextBox 112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43" name="TextBox 112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44" name="TextBox 112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45" name="TextBox 112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246" name="TextBox 112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247" name="TextBox 112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248" name="TextBox 112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249" name="TextBox 112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250" name="TextBox 112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11251" name="TextBox 112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52" name="TextBox 112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53" name="TextBox 112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54" name="TextBox 112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55" name="TextBox 112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56" name="TextBox 112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57" name="TextBox 112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258" name="TextBox 112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259" name="TextBox 112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260" name="TextBox 112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261" name="TextBox 112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262" name="TextBox 112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263" name="TextBox 112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264" name="TextBox 112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265" name="TextBox 112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266" name="TextBox 112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267" name="TextBox 112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268" name="TextBox 112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269" name="TextBox 112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70" name="TextBox 112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71" name="TextBox 112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72" name="TextBox 112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73" name="TextBox 112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74" name="TextBox 112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75" name="TextBox 112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76" name="TextBox 112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77" name="TextBox 112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78" name="TextBox 112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79" name="TextBox 112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80" name="TextBox 112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81" name="TextBox 112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282" name="TextBox 112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283" name="TextBox 112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284" name="TextBox 112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285" name="TextBox 112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286" name="TextBox 112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287" name="TextBox 112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88" name="TextBox 112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89" name="TextBox 112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90" name="TextBox 112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91" name="TextBox 112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92" name="TextBox 112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93" name="TextBox 112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94" name="TextBox 112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95" name="TextBox 112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96" name="TextBox 112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97" name="TextBox 112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98" name="TextBox 112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299" name="TextBox 112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00" name="TextBox 112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01" name="TextBox 113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02" name="TextBox 113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03" name="TextBox 113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04" name="TextBox 113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05" name="TextBox 113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306" name="TextBox 113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307" name="TextBox 113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308" name="TextBox 113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309" name="TextBox 113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310" name="TextBox 113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311" name="TextBox 113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12" name="TextBox 113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13" name="TextBox 113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14" name="TextBox 113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15" name="TextBox 113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16" name="TextBox 113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17" name="TextBox 113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18" name="TextBox 113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19" name="TextBox 113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20" name="TextBox 113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21" name="TextBox 113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22" name="TextBox 113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23" name="TextBox 113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24" name="TextBox 113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25" name="TextBox 113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26" name="TextBox 113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27" name="TextBox 113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28" name="TextBox 113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29" name="TextBox 113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30" name="TextBox 113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31" name="TextBox 113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32" name="TextBox 113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33" name="TextBox 113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34" name="TextBox 113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35" name="TextBox 113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336" name="TextBox 113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337" name="TextBox 113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338" name="TextBox 113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339" name="TextBox 113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340" name="TextBox 113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341" name="TextBox 113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42" name="TextBox 113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43" name="TextBox 113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44" name="TextBox 113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45" name="TextBox 113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46" name="TextBox 113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47" name="TextBox 113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48" name="TextBox 113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49" name="TextBox 113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50" name="TextBox 113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51" name="TextBox 113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52" name="TextBox 113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53" name="TextBox 113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54" name="TextBox 113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55" name="TextBox 113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56" name="TextBox 113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57" name="TextBox 113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58" name="TextBox 113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59" name="TextBox 113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60" name="TextBox 113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61" name="TextBox 113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62" name="TextBox 113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63" name="TextBox 113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64" name="TextBox 113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65" name="TextBox 113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66" name="TextBox 113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67" name="TextBox 113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68" name="TextBox 113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69" name="TextBox 113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70" name="TextBox 113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71" name="TextBox 113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372" name="TextBox 113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373" name="TextBox 113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374" name="TextBox 113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375" name="TextBox 113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376" name="TextBox 113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377" name="TextBox 113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78" name="TextBox 113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79" name="TextBox 113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80" name="TextBox 113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81" name="TextBox 113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82" name="TextBox 113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83" name="TextBox 113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84" name="TextBox 113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85" name="TextBox 113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86" name="TextBox 113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87" name="TextBox 113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88" name="TextBox 113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89" name="TextBox 113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90" name="TextBox 113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91" name="TextBox 113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92" name="TextBox 113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93" name="TextBox 113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94" name="TextBox 113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95" name="TextBox 113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96" name="TextBox 113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97" name="TextBox 113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98" name="TextBox 113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399" name="TextBox 113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00" name="TextBox 113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01" name="TextBox 114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02" name="TextBox 114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03" name="TextBox 114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04" name="TextBox 114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05" name="TextBox 114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06" name="TextBox 114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07" name="TextBox 114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408" name="TextBox 114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409" name="TextBox 114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410" name="TextBox 114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411" name="TextBox 114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412" name="TextBox 114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11413" name="TextBox 114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14" name="TextBox 114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15" name="TextBox 114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16" name="TextBox 114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17" name="TextBox 114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18" name="TextBox 114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19" name="TextBox 114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20" name="TextBox 114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21" name="TextBox 114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22" name="TextBox 114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23" name="TextBox 114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24" name="TextBox 114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25" name="TextBox 114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26" name="TextBox 114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27" name="TextBox 114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28" name="TextBox 114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29" name="TextBox 114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30" name="TextBox 114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31" name="TextBox 114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32" name="TextBox 114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33" name="TextBox 114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34" name="TextBox 114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35" name="TextBox 114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36" name="TextBox 114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37" name="TextBox 114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38" name="TextBox 114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39" name="TextBox 114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40" name="TextBox 114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41" name="TextBox 114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42" name="TextBox 114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43" name="TextBox 114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44" name="TextBox 114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45" name="TextBox 114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46" name="TextBox 114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47" name="TextBox 114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48" name="TextBox 114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49" name="TextBox 114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50" name="TextBox 114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51" name="TextBox 114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52" name="TextBox 114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53" name="TextBox 114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54" name="TextBox 114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11455" name="TextBox 114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0975" cy="266700"/>
    <xdr:sp macro="" textlink="">
      <xdr:nvSpPr>
        <xdr:cNvPr id="2912783" name="TextBox 6618"/>
        <xdr:cNvSpPr txBox="1">
          <a:spLocks noChangeArrowheads="1"/>
        </xdr:cNvSpPr>
      </xdr:nvSpPr>
      <xdr:spPr bwMode="auto">
        <a:xfrm>
          <a:off x="10639425" y="192024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11457" name="TextBox 11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11458" name="TextBox 11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11459" name="TextBox 11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11460" name="TextBox 11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11461" name="TextBox 11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84731" cy="264560"/>
    <xdr:sp macro="" textlink="">
      <xdr:nvSpPr>
        <xdr:cNvPr id="11462" name="TextBox 11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463" name="TextBox 11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464" name="TextBox 11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465" name="TextBox 11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466" name="TextBox 11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467" name="TextBox 11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468" name="TextBox 11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469" name="TextBox 11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470" name="TextBox 11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471" name="TextBox 11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472" name="TextBox 11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473" name="TextBox 11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474" name="TextBox 11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475" name="TextBox 11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476" name="TextBox 11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477" name="TextBox 11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478" name="TextBox 11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479" name="TextBox 11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480" name="TextBox 11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481" name="TextBox 11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482" name="TextBox 11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483" name="TextBox 11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484" name="TextBox 11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485" name="TextBox 11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486" name="TextBox 11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487" name="TextBox 11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488" name="TextBox 11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489" name="TextBox 11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490" name="TextBox 11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491" name="TextBox 11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492" name="TextBox 11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493" name="TextBox 11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494" name="TextBox 11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495" name="TextBox 11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496" name="TextBox 11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497" name="TextBox 11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498" name="TextBox 11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499" name="TextBox 11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00" name="TextBox 11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01" name="TextBox 11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02" name="TextBox 11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03" name="TextBox 11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04" name="TextBox 11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05" name="TextBox 11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06" name="TextBox 11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07" name="TextBox 11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08" name="TextBox 11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09" name="TextBox 11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10" name="TextBox 11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11" name="TextBox 11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12" name="TextBox 11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13" name="TextBox 11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14" name="TextBox 11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15" name="TextBox 11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16" name="TextBox 11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517" name="TextBox 11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518" name="TextBox 11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519" name="TextBox 11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520" name="TextBox 11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521" name="TextBox 11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522" name="TextBox 11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23" name="TextBox 11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24" name="TextBox 11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25" name="TextBox 11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26" name="TextBox 11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27" name="TextBox 11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28" name="TextBox 11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29" name="TextBox 11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30" name="TextBox 11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31" name="TextBox 11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32" name="TextBox 11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33" name="TextBox 11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34" name="TextBox 11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35" name="TextBox 11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36" name="TextBox 11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37" name="TextBox 11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38" name="TextBox 11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39" name="TextBox 11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40" name="TextBox 11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41" name="TextBox 11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42" name="TextBox 11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43" name="TextBox 11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44" name="TextBox 11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45" name="TextBox 11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46" name="TextBox 11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547" name="TextBox 11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548" name="TextBox 11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549" name="TextBox 11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550" name="TextBox 11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551" name="TextBox 11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552" name="TextBox 11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553" name="TextBox 11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554" name="TextBox 11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555" name="TextBox 11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556" name="TextBox 11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557" name="TextBox 11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558" name="TextBox 11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59" name="TextBox 11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60" name="TextBox 11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61" name="TextBox 11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62" name="TextBox 11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63" name="TextBox 11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64" name="TextBox 11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65" name="TextBox 11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66" name="TextBox 11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67" name="TextBox 11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68" name="TextBox 11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69" name="TextBox 11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70" name="TextBox 11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571" name="TextBox 11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572" name="TextBox 11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573" name="TextBox 11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574" name="TextBox 11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575" name="TextBox 11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576" name="TextBox 11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577" name="TextBox 11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578" name="TextBox 11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579" name="TextBox 11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580" name="TextBox 11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581" name="TextBox 11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582" name="TextBox 11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83" name="TextBox 11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84" name="TextBox 11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85" name="TextBox 11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86" name="TextBox 11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87" name="TextBox 11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588" name="TextBox 11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589" name="TextBox 11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590" name="TextBox 11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591" name="TextBox 11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592" name="TextBox 11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593" name="TextBox 11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594" name="TextBox 11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595" name="TextBox 11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596" name="TextBox 11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597" name="TextBox 11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598" name="TextBox 11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599" name="TextBox 11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00" name="TextBox 11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01" name="TextBox 11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02" name="TextBox 11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03" name="TextBox 11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04" name="TextBox 11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05" name="TextBox 11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06" name="TextBox 11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607" name="TextBox 11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608" name="TextBox 11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609" name="TextBox 11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610" name="TextBox 11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611" name="TextBox 11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612" name="TextBox 11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13" name="TextBox 11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14" name="TextBox 11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15" name="TextBox 11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16" name="TextBox 11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17" name="TextBox 11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18" name="TextBox 11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19" name="TextBox 11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20" name="TextBox 11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21" name="TextBox 11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22" name="TextBox 11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23" name="TextBox 11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24" name="TextBox 11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25" name="TextBox 11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26" name="TextBox 11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27" name="TextBox 11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28" name="TextBox 11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29" name="TextBox 11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30" name="TextBox 11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31" name="TextBox 11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32" name="TextBox 11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33" name="TextBox 11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34" name="TextBox 11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35" name="TextBox 11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36" name="TextBox 11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637" name="TextBox 11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638" name="TextBox 11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639" name="TextBox 11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640" name="TextBox 11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641" name="TextBox 11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642" name="TextBox 11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43" name="TextBox 11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44" name="TextBox 11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45" name="TextBox 11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46" name="TextBox 11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47" name="TextBox 11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48" name="TextBox 11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49" name="TextBox 11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50" name="TextBox 11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51" name="TextBox 11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52" name="TextBox 11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53" name="TextBox 11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54" name="TextBox 11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55" name="TextBox 11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56" name="TextBox 11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57" name="TextBox 11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58" name="TextBox 11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59" name="TextBox 11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60" name="TextBox 11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61" name="TextBox 11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62" name="TextBox 11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63" name="TextBox 11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64" name="TextBox 11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65" name="TextBox 11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66" name="TextBox 11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67" name="TextBox 11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68" name="TextBox 11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69" name="TextBox 11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70" name="TextBox 11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71" name="TextBox 11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72" name="TextBox 11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73" name="TextBox 11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74" name="TextBox 11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75" name="TextBox 11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76" name="TextBox 11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77" name="TextBox 11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78" name="TextBox 11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79" name="TextBox 11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80" name="TextBox 11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81" name="TextBox 11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82" name="TextBox 11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83" name="TextBox 11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84" name="TextBox 11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85" name="TextBox 11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86" name="TextBox 11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87" name="TextBox 11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88" name="TextBox 11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89" name="TextBox 11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90" name="TextBox 11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91" name="TextBox 11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92" name="TextBox 11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93" name="TextBox 11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94" name="TextBox 11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95" name="TextBox 11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696" name="TextBox 11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97" name="TextBox 11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98" name="TextBox 11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699" name="TextBox 11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700" name="TextBox 11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701" name="TextBox 11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702" name="TextBox 11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03" name="TextBox 11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04" name="TextBox 11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05" name="TextBox 11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06" name="TextBox 11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07" name="TextBox 11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08" name="TextBox 11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09" name="TextBox 11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10" name="TextBox 11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11" name="TextBox 11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12" name="TextBox 11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13" name="TextBox 11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14" name="TextBox 11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15" name="TextBox 11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16" name="TextBox 11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17" name="TextBox 11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18" name="TextBox 11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19" name="TextBox 11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20" name="TextBox 11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21" name="TextBox 11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22" name="TextBox 11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23" name="TextBox 11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24" name="TextBox 11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25" name="TextBox 11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26" name="TextBox 11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727" name="TextBox 11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728" name="TextBox 11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729" name="TextBox 11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730" name="TextBox 11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731" name="TextBox 11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732" name="TextBox 11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33" name="TextBox 11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34" name="TextBox 11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35" name="TextBox 11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36" name="TextBox 11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37" name="TextBox 11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38" name="TextBox 11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39" name="TextBox 11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40" name="TextBox 11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41" name="TextBox 11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42" name="TextBox 11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43" name="TextBox 11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44" name="TextBox 11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45" name="TextBox 11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46" name="TextBox 11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47" name="TextBox 11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48" name="TextBox 11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49" name="TextBox 11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50" name="TextBox 11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51" name="TextBox 11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52" name="TextBox 11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53" name="TextBox 11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54" name="TextBox 11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55" name="TextBox 11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56" name="TextBox 11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757" name="TextBox 11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758" name="TextBox 11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759" name="TextBox 11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760" name="TextBox 11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761" name="TextBox 11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762" name="TextBox 11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63" name="TextBox 11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64" name="TextBox 11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65" name="TextBox 11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66" name="TextBox 11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67" name="TextBox 11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68" name="TextBox 11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69" name="TextBox 11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70" name="TextBox 11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71" name="TextBox 11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72" name="TextBox 11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73" name="TextBox 11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74" name="TextBox 11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75" name="TextBox 11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76" name="TextBox 11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77" name="TextBox 11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78" name="TextBox 11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79" name="TextBox 11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80" name="TextBox 11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81" name="TextBox 11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82" name="TextBox 11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83" name="TextBox 11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84" name="TextBox 11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85" name="TextBox 11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86" name="TextBox 11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87" name="TextBox 11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88" name="TextBox 11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89" name="TextBox 11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90" name="TextBox 11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91" name="TextBox 11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92" name="TextBox 11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93" name="TextBox 11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94" name="TextBox 11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95" name="TextBox 11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96" name="TextBox 11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97" name="TextBox 11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798" name="TextBox 11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799" name="TextBox 11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800" name="TextBox 11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801" name="TextBox 11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802" name="TextBox 11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803" name="TextBox 11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1804" name="TextBox 11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05" name="TextBox 11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06" name="TextBox 11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07" name="TextBox 11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08" name="TextBox 11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09" name="TextBox 11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10" name="TextBox 11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811" name="TextBox 11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812" name="TextBox 11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813" name="TextBox 11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814" name="TextBox 11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815" name="TextBox 11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816" name="TextBox 11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817" name="TextBox 11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818" name="TextBox 11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819" name="TextBox 11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820" name="TextBox 11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821" name="TextBox 11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822" name="TextBox 11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23" name="TextBox 11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24" name="TextBox 11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25" name="TextBox 11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26" name="TextBox 11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27" name="TextBox 11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28" name="TextBox 11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29" name="TextBox 11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30" name="TextBox 11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31" name="TextBox 11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32" name="TextBox 11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33" name="TextBox 11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34" name="TextBox 11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835" name="TextBox 11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836" name="TextBox 11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837" name="TextBox 11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838" name="TextBox 11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839" name="TextBox 11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840" name="TextBox 11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41" name="TextBox 11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42" name="TextBox 11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43" name="TextBox 11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44" name="TextBox 11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45" name="TextBox 11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46" name="TextBox 11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47" name="TextBox 11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48" name="TextBox 11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49" name="TextBox 11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50" name="TextBox 11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51" name="TextBox 11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52" name="TextBox 11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53" name="TextBox 11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54" name="TextBox 11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55" name="TextBox 11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56" name="TextBox 11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57" name="TextBox 11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58" name="TextBox 11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859" name="TextBox 11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860" name="TextBox 11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861" name="TextBox 11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862" name="TextBox 11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863" name="TextBox 11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864" name="TextBox 11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65" name="TextBox 11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66" name="TextBox 11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67" name="TextBox 11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68" name="TextBox 11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69" name="TextBox 11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70" name="TextBox 11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71" name="TextBox 11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72" name="TextBox 11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73" name="TextBox 11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74" name="TextBox 11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75" name="TextBox 11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76" name="TextBox 11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77" name="TextBox 11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78" name="TextBox 11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79" name="TextBox 11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80" name="TextBox 11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81" name="TextBox 11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82" name="TextBox 11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83" name="TextBox 11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84" name="TextBox 11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85" name="TextBox 11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86" name="TextBox 11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87" name="TextBox 11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888" name="TextBox 11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889" name="TextBox 11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890" name="TextBox 11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891" name="TextBox 11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892" name="TextBox 11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893" name="TextBox 11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1894" name="TextBox 11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895" name="TextBox 11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896" name="TextBox 11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897" name="TextBox 11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898" name="TextBox 11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899" name="TextBox 11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00" name="TextBox 11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901" name="TextBox 11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902" name="TextBox 11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903" name="TextBox 11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904" name="TextBox 11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905" name="TextBox 11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906" name="TextBox 11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907" name="TextBox 11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908" name="TextBox 11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909" name="TextBox 11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910" name="TextBox 11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911" name="TextBox 11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912" name="TextBox 11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13" name="TextBox 11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14" name="TextBox 11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15" name="TextBox 11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16" name="TextBox 11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17" name="TextBox 11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18" name="TextBox 11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19" name="TextBox 11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20" name="TextBox 11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21" name="TextBox 11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22" name="TextBox 11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23" name="TextBox 11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24" name="TextBox 11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925" name="TextBox 11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926" name="TextBox 11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927" name="TextBox 11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928" name="TextBox 11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929" name="TextBox 11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930" name="TextBox 11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31" name="TextBox 11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32" name="TextBox 11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33" name="TextBox 11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34" name="TextBox 11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35" name="TextBox 11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36" name="TextBox 11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37" name="TextBox 11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38" name="TextBox 11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39" name="TextBox 11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40" name="TextBox 11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41" name="TextBox 11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42" name="TextBox 11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43" name="TextBox 11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44" name="TextBox 11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45" name="TextBox 11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46" name="TextBox 11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47" name="TextBox 11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48" name="TextBox 11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949" name="TextBox 11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950" name="TextBox 11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951" name="TextBox 11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952" name="TextBox 11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953" name="TextBox 11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954" name="TextBox 11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55" name="TextBox 11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56" name="TextBox 11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57" name="TextBox 11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58" name="TextBox 11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59" name="TextBox 11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60" name="TextBox 11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61" name="TextBox 11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62" name="TextBox 11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63" name="TextBox 11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64" name="TextBox 11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65" name="TextBox 11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66" name="TextBox 11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67" name="TextBox 11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68" name="TextBox 11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69" name="TextBox 11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70" name="TextBox 11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71" name="TextBox 11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72" name="TextBox 11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73" name="TextBox 11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74" name="TextBox 11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75" name="TextBox 11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76" name="TextBox 11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77" name="TextBox 11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78" name="TextBox 11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979" name="TextBox 11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980" name="TextBox 11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981" name="TextBox 11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982" name="TextBox 11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983" name="TextBox 11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1984" name="TextBox 11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85" name="TextBox 11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86" name="TextBox 11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87" name="TextBox 11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88" name="TextBox 11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89" name="TextBox 11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90" name="TextBox 11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91" name="TextBox 11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92" name="TextBox 11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93" name="TextBox 11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94" name="TextBox 11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95" name="TextBox 11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96" name="TextBox 11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97" name="TextBox 11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98" name="TextBox 11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1999" name="TextBox 11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00" name="TextBox 11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01" name="TextBox 12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02" name="TextBox 12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03" name="TextBox 12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04" name="TextBox 12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05" name="TextBox 12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06" name="TextBox 12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07" name="TextBox 12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08" name="TextBox 12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09" name="TextBox 12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10" name="TextBox 12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11" name="TextBox 12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12" name="TextBox 12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13" name="TextBox 12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14" name="TextBox 12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15" name="TextBox 12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16" name="TextBox 12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17" name="TextBox 12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18" name="TextBox 12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19" name="TextBox 12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20" name="TextBox 12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021" name="TextBox 12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022" name="TextBox 12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023" name="TextBox 12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024" name="TextBox 12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025" name="TextBox 12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026" name="TextBox 12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27" name="TextBox 12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28" name="TextBox 12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29" name="TextBox 12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30" name="TextBox 12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31" name="TextBox 12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32" name="TextBox 12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033" name="TextBox 12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034" name="TextBox 12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035" name="TextBox 12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036" name="TextBox 12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037" name="TextBox 12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038" name="TextBox 12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039" name="TextBox 12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040" name="TextBox 12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041" name="TextBox 12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042" name="TextBox 12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043" name="TextBox 12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044" name="TextBox 12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45" name="TextBox 12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46" name="TextBox 12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47" name="TextBox 12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48" name="TextBox 12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49" name="TextBox 12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50" name="TextBox 12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51" name="TextBox 12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52" name="TextBox 12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53" name="TextBox 12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54" name="TextBox 12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55" name="TextBox 12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56" name="TextBox 12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057" name="TextBox 12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058" name="TextBox 12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059" name="TextBox 12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060" name="TextBox 12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061" name="TextBox 12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062" name="TextBox 12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63" name="TextBox 12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64" name="TextBox 12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65" name="TextBox 12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66" name="TextBox 12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67" name="TextBox 12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68" name="TextBox 12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69" name="TextBox 12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70" name="TextBox 12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71" name="TextBox 12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72" name="TextBox 12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73" name="TextBox 12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74" name="TextBox 12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75" name="TextBox 12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76" name="TextBox 12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77" name="TextBox 12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78" name="TextBox 12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79" name="TextBox 12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80" name="TextBox 12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081" name="TextBox 12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082" name="TextBox 12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083" name="TextBox 12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084" name="TextBox 12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085" name="TextBox 12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086" name="TextBox 12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87" name="TextBox 12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88" name="TextBox 12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89" name="TextBox 12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90" name="TextBox 12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91" name="TextBox 12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92" name="TextBox 12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93" name="TextBox 12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94" name="TextBox 12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95" name="TextBox 12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96" name="TextBox 12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97" name="TextBox 12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98" name="TextBox 12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099" name="TextBox 12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00" name="TextBox 12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01" name="TextBox 12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02" name="TextBox 12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03" name="TextBox 12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04" name="TextBox 12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05" name="TextBox 12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06" name="TextBox 12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07" name="TextBox 12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08" name="TextBox 12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09" name="TextBox 12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10" name="TextBox 12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111" name="TextBox 12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112" name="TextBox 12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113" name="TextBox 12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114" name="TextBox 12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115" name="TextBox 12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116" name="TextBox 12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17" name="TextBox 12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18" name="TextBox 12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19" name="TextBox 12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20" name="TextBox 12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21" name="TextBox 12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22" name="TextBox 12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23" name="TextBox 12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24" name="TextBox 12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25" name="TextBox 12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26" name="TextBox 12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27" name="TextBox 12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28" name="TextBox 12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29" name="TextBox 12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30" name="TextBox 12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31" name="TextBox 12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32" name="TextBox 12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33" name="TextBox 12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34" name="TextBox 12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35" name="TextBox 12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36" name="TextBox 12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37" name="TextBox 12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38" name="TextBox 12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39" name="TextBox 12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40" name="TextBox 12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41" name="TextBox 12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42" name="TextBox 12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43" name="TextBox 12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44" name="TextBox 12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45" name="TextBox 12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46" name="TextBox 12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147" name="TextBox 12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148" name="TextBox 12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149" name="TextBox 12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150" name="TextBox 12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151" name="TextBox 12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152" name="TextBox 12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53" name="TextBox 12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54" name="TextBox 12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55" name="TextBox 12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56" name="TextBox 12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57" name="TextBox 12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58" name="TextBox 12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59" name="TextBox 12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60" name="TextBox 12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61" name="TextBox 12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62" name="TextBox 12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63" name="TextBox 12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64" name="TextBox 12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65" name="TextBox 12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66" name="TextBox 12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67" name="TextBox 12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68" name="TextBox 12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69" name="TextBox 12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70" name="TextBox 12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71" name="TextBox 12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72" name="TextBox 12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73" name="TextBox 12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74" name="TextBox 12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75" name="TextBox 12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76" name="TextBox 12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77" name="TextBox 12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78" name="TextBox 12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79" name="TextBox 12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80" name="TextBox 12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81" name="TextBox 12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82" name="TextBox 12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183" name="TextBox 12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184" name="TextBox 12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185" name="TextBox 12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186" name="TextBox 12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187" name="TextBox 12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188" name="TextBox 12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89" name="TextBox 12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90" name="TextBox 12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91" name="TextBox 12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92" name="TextBox 12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93" name="TextBox 12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94" name="TextBox 12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95" name="TextBox 12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96" name="TextBox 12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97" name="TextBox 12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98" name="TextBox 12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199" name="TextBox 12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00" name="TextBox 12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01" name="TextBox 12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02" name="TextBox 12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03" name="TextBox 12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04" name="TextBox 12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05" name="TextBox 12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06" name="TextBox 12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07" name="TextBox 12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08" name="TextBox 12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09" name="TextBox 12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10" name="TextBox 12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11" name="TextBox 12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12" name="TextBox 12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13" name="TextBox 12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14" name="TextBox 12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15" name="TextBox 12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16" name="TextBox 12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17" name="TextBox 12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18" name="TextBox 12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19" name="TextBox 12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20" name="TextBox 12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21" name="TextBox 12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22" name="TextBox 12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23" name="TextBox 12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24" name="TextBox 12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25" name="TextBox 12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26" name="TextBox 12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27" name="TextBox 12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28" name="TextBox 12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29" name="TextBox 12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230" name="TextBox 12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2231" name="TextBox 12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2232" name="TextBox 12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2233" name="TextBox 12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2234" name="TextBox 12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2235" name="TextBox 12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 macro="" textlink="">
      <xdr:nvSpPr>
        <xdr:cNvPr id="12236" name="TextBox 12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37" name="TextBox 12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38" name="TextBox 12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39" name="TextBox 12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40" name="TextBox 12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41" name="TextBox 12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42" name="TextBox 12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243" name="TextBox 12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244" name="TextBox 12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245" name="TextBox 12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246" name="TextBox 12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247" name="TextBox 12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248" name="TextBox 12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249" name="TextBox 12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250" name="TextBox 12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251" name="TextBox 12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252" name="TextBox 12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253" name="TextBox 12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254" name="TextBox 12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55" name="TextBox 12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56" name="TextBox 12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57" name="TextBox 12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58" name="TextBox 12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59" name="TextBox 12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60" name="TextBox 12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61" name="TextBox 12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62" name="TextBox 12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63" name="TextBox 12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64" name="TextBox 12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65" name="TextBox 12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66" name="TextBox 12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267" name="TextBox 12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268" name="TextBox 12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269" name="TextBox 12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270" name="TextBox 12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271" name="TextBox 12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272" name="TextBox 12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73" name="TextBox 12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74" name="TextBox 12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75" name="TextBox 12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76" name="TextBox 12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77" name="TextBox 12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78" name="TextBox 12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79" name="TextBox 12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80" name="TextBox 12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81" name="TextBox 12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82" name="TextBox 12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83" name="TextBox 12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84" name="TextBox 12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85" name="TextBox 12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86" name="TextBox 12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87" name="TextBox 12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88" name="TextBox 12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89" name="TextBox 12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90" name="TextBox 12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291" name="TextBox 12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292" name="TextBox 12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293" name="TextBox 12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294" name="TextBox 12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295" name="TextBox 12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296" name="TextBox 12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97" name="TextBox 12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98" name="TextBox 12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299" name="TextBox 12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00" name="TextBox 12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01" name="TextBox 12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02" name="TextBox 12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03" name="TextBox 12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04" name="TextBox 12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05" name="TextBox 12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06" name="TextBox 12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07" name="TextBox 12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08" name="TextBox 12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09" name="TextBox 12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10" name="TextBox 12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11" name="TextBox 12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12" name="TextBox 12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13" name="TextBox 12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14" name="TextBox 12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15" name="TextBox 12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16" name="TextBox 12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17" name="TextBox 12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18" name="TextBox 12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19" name="TextBox 12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20" name="TextBox 12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321" name="TextBox 12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322" name="TextBox 12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323" name="TextBox 12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324" name="TextBox 12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325" name="TextBox 12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326" name="TextBox 12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27" name="TextBox 12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28" name="TextBox 12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29" name="TextBox 12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30" name="TextBox 12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31" name="TextBox 12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32" name="TextBox 12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33" name="TextBox 12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34" name="TextBox 12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35" name="TextBox 12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36" name="TextBox 12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37" name="TextBox 12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38" name="TextBox 12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39" name="TextBox 12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40" name="TextBox 12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41" name="TextBox 12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42" name="TextBox 12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43" name="TextBox 12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44" name="TextBox 12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45" name="TextBox 12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46" name="TextBox 12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47" name="TextBox 12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48" name="TextBox 12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49" name="TextBox 12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50" name="TextBox 12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51" name="TextBox 12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52" name="TextBox 12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53" name="TextBox 12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54" name="TextBox 12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55" name="TextBox 12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56" name="TextBox 12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57" name="TextBox 12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58" name="TextBox 12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59" name="TextBox 12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60" name="TextBox 12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61" name="TextBox 12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62" name="TextBox 12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63" name="TextBox 12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64" name="TextBox 12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65" name="TextBox 12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66" name="TextBox 12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67" name="TextBox 12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68" name="TextBox 12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69" name="TextBox 12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70" name="TextBox 12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71" name="TextBox 12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72" name="TextBox 12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73" name="TextBox 12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74" name="TextBox 12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75" name="TextBox 12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76" name="TextBox 12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77" name="TextBox 12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78" name="TextBox 12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79" name="TextBox 12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80" name="TextBox 12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81" name="TextBox 12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82" name="TextBox 12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83" name="TextBox 12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84" name="TextBox 12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85" name="TextBox 12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386" name="TextBox 12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87" name="TextBox 12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88" name="TextBox 12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89" name="TextBox 12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90" name="TextBox 12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91" name="TextBox 12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92" name="TextBox 12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93" name="TextBox 12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94" name="TextBox 12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95" name="TextBox 12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96" name="TextBox 12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97" name="TextBox 12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98" name="TextBox 12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399" name="TextBox 12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00" name="TextBox 12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01" name="TextBox 12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02" name="TextBox 12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03" name="TextBox 12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04" name="TextBox 12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05" name="TextBox 12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06" name="TextBox 12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07" name="TextBox 12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08" name="TextBox 12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09" name="TextBox 12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10" name="TextBox 12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411" name="TextBox 12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412" name="TextBox 12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413" name="TextBox 12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414" name="TextBox 12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415" name="TextBox 12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416" name="TextBox 12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17" name="TextBox 12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18" name="TextBox 12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19" name="TextBox 12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20" name="TextBox 12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21" name="TextBox 12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22" name="TextBox 12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23" name="TextBox 12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24" name="TextBox 12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25" name="TextBox 12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26" name="TextBox 12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27" name="TextBox 12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28" name="TextBox 12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29" name="TextBox 12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30" name="TextBox 12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31" name="TextBox 12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32" name="TextBox 12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33" name="TextBox 12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34" name="TextBox 12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35" name="TextBox 12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36" name="TextBox 12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37" name="TextBox 12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38" name="TextBox 12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39" name="TextBox 12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40" name="TextBox 12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41" name="TextBox 12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42" name="TextBox 12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43" name="TextBox 12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44" name="TextBox 12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45" name="TextBox 12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46" name="TextBox 12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47" name="TextBox 12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48" name="TextBox 12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49" name="TextBox 12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50" name="TextBox 12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51" name="TextBox 12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52" name="TextBox 12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53" name="TextBox 12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54" name="TextBox 12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55" name="TextBox 12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56" name="TextBox 12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57" name="TextBox 12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58" name="TextBox 12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59" name="TextBox 12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60" name="TextBox 12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61" name="TextBox 12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62" name="TextBox 12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63" name="TextBox 12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64" name="TextBox 12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65" name="TextBox 12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66" name="TextBox 12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67" name="TextBox 12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68" name="TextBox 12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69" name="TextBox 12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70" name="TextBox 12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71" name="TextBox 12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72" name="TextBox 12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73" name="TextBox 12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74" name="TextBox 12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75" name="TextBox 12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476" name="TextBox 12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77" name="TextBox 12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78" name="TextBox 12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79" name="TextBox 12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80" name="TextBox 12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81" name="TextBox 12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82" name="TextBox 12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83" name="TextBox 12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84" name="TextBox 12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85" name="TextBox 12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86" name="TextBox 12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87" name="TextBox 12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88" name="TextBox 12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89" name="TextBox 12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90" name="TextBox 12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91" name="TextBox 12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92" name="TextBox 12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93" name="TextBox 12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94" name="TextBox 12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95" name="TextBox 12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96" name="TextBox 12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97" name="TextBox 12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98" name="TextBox 12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499" name="TextBox 12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00" name="TextBox 12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501" name="TextBox 12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502" name="TextBox 12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503" name="TextBox 12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504" name="TextBox 12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505" name="TextBox 12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506" name="TextBox 12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07" name="TextBox 12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08" name="TextBox 12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09" name="TextBox 12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10" name="TextBox 12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11" name="TextBox 12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12" name="TextBox 12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13" name="TextBox 12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14" name="TextBox 12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15" name="TextBox 12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16" name="TextBox 12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17" name="TextBox 12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18" name="TextBox 12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19" name="TextBox 12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20" name="TextBox 12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21" name="TextBox 12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22" name="TextBox 12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23" name="TextBox 12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24" name="TextBox 12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25" name="TextBox 12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26" name="TextBox 12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27" name="TextBox 12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28" name="TextBox 12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29" name="TextBox 12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30" name="TextBox 12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531" name="TextBox 12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532" name="TextBox 12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533" name="TextBox 12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534" name="TextBox 12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535" name="TextBox 12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536" name="TextBox 12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37" name="TextBox 12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38" name="TextBox 12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39" name="TextBox 12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40" name="TextBox 12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41" name="TextBox 12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42" name="TextBox 12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43" name="TextBox 12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44" name="TextBox 12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45" name="TextBox 12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46" name="TextBox 12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47" name="TextBox 12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48" name="TextBox 12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49" name="TextBox 12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50" name="TextBox 12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51" name="TextBox 12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52" name="TextBox 12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53" name="TextBox 12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54" name="TextBox 12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55" name="TextBox 12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56" name="TextBox 12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57" name="TextBox 12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58" name="TextBox 12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59" name="TextBox 12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60" name="TextBox 12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61" name="TextBox 12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62" name="TextBox 12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63" name="TextBox 12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64" name="TextBox 12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65" name="TextBox 12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66" name="TextBox 12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67" name="TextBox 12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68" name="TextBox 12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69" name="TextBox 12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70" name="TextBox 12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71" name="TextBox 12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572" name="TextBox 12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573" name="TextBox 12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574" name="TextBox 12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575" name="TextBox 12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576" name="TextBox 12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577" name="TextBox 12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2578" name="TextBox 12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579" name="TextBox 12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580" name="TextBox 12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581" name="TextBox 12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582" name="TextBox 12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583" name="TextBox 12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584" name="TextBox 12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585" name="TextBox 12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586" name="TextBox 12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587" name="TextBox 12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588" name="TextBox 12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589" name="TextBox 12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590" name="TextBox 12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591" name="TextBox 12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592" name="TextBox 12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593" name="TextBox 12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594" name="TextBox 12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595" name="TextBox 12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596" name="TextBox 12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597" name="TextBox 12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598" name="TextBox 12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599" name="TextBox 12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00" name="TextBox 12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01" name="TextBox 12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02" name="TextBox 12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03" name="TextBox 12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04" name="TextBox 12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05" name="TextBox 12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06" name="TextBox 12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07" name="TextBox 12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08" name="TextBox 12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609" name="TextBox 12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610" name="TextBox 12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611" name="TextBox 12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612" name="TextBox 12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613" name="TextBox 12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614" name="TextBox 12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15" name="TextBox 12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16" name="TextBox 12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17" name="TextBox 12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18" name="TextBox 12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19" name="TextBox 12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20" name="TextBox 12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21" name="TextBox 12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22" name="TextBox 12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23" name="TextBox 12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24" name="TextBox 12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25" name="TextBox 12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26" name="TextBox 12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27" name="TextBox 12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28" name="TextBox 12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29" name="TextBox 12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30" name="TextBox 12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31" name="TextBox 12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32" name="TextBox 12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633" name="TextBox 12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634" name="TextBox 12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635" name="TextBox 12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636" name="TextBox 12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637" name="TextBox 12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638" name="TextBox 12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39" name="TextBox 12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40" name="TextBox 12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41" name="TextBox 12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42" name="TextBox 12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43" name="TextBox 12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44" name="TextBox 12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45" name="TextBox 12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46" name="TextBox 12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47" name="TextBox 12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48" name="TextBox 12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49" name="TextBox 12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50" name="TextBox 12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51" name="TextBox 12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52" name="TextBox 12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53" name="TextBox 12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54" name="TextBox 12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55" name="TextBox 12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56" name="TextBox 12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57" name="TextBox 12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58" name="TextBox 12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59" name="TextBox 12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60" name="TextBox 12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61" name="TextBox 12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62" name="TextBox 12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663" name="TextBox 12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664" name="TextBox 12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665" name="TextBox 12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666" name="TextBox 12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667" name="TextBox 12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668" name="TextBox 12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669" name="TextBox 12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670" name="TextBox 12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671" name="TextBox 12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672" name="TextBox 12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673" name="TextBox 12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674" name="TextBox 12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75" name="TextBox 12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76" name="TextBox 12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77" name="TextBox 12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78" name="TextBox 12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79" name="TextBox 12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80" name="TextBox 12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81" name="TextBox 12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82" name="TextBox 12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83" name="TextBox 12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84" name="TextBox 12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85" name="TextBox 12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86" name="TextBox 12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687" name="TextBox 12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688" name="TextBox 12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689" name="TextBox 12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690" name="TextBox 12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691" name="TextBox 12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692" name="TextBox 12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693" name="TextBox 12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694" name="TextBox 12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695" name="TextBox 12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696" name="TextBox 12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697" name="TextBox 12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698" name="TextBox 12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699" name="TextBox 12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700" name="TextBox 12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701" name="TextBox 12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702" name="TextBox 12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703" name="TextBox 12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704" name="TextBox 12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05" name="TextBox 12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06" name="TextBox 12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07" name="TextBox 12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08" name="TextBox 12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09" name="TextBox 12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10" name="TextBox 12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11" name="TextBox 12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12" name="TextBox 12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13" name="TextBox 12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14" name="TextBox 12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15" name="TextBox 12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16" name="TextBox 12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17" name="TextBox 12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18" name="TextBox 12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19" name="TextBox 12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20" name="TextBox 12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21" name="TextBox 12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22" name="TextBox 12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723" name="TextBox 12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724" name="TextBox 12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725" name="TextBox 12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726" name="TextBox 12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727" name="TextBox 12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728" name="TextBox 12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29" name="TextBox 12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30" name="TextBox 12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31" name="TextBox 12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32" name="TextBox 12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33" name="TextBox 12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34" name="TextBox 12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35" name="TextBox 12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36" name="TextBox 12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37" name="TextBox 12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38" name="TextBox 12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39" name="TextBox 12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40" name="TextBox 12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41" name="TextBox 12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42" name="TextBox 12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43" name="TextBox 12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44" name="TextBox 12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45" name="TextBox 12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46" name="TextBox 12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47" name="TextBox 12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48" name="TextBox 12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49" name="TextBox 12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50" name="TextBox 12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51" name="TextBox 12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52" name="TextBox 12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753" name="TextBox 12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754" name="TextBox 12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755" name="TextBox 12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756" name="TextBox 12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757" name="TextBox 12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758" name="TextBox 12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59" name="TextBox 12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60" name="TextBox 12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61" name="TextBox 12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62" name="TextBox 12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63" name="TextBox 12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64" name="TextBox 12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65" name="TextBox 12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66" name="TextBox 12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67" name="TextBox 12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68" name="TextBox 12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69" name="TextBox 12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70" name="TextBox 12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71" name="TextBox 12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72" name="TextBox 12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73" name="TextBox 12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74" name="TextBox 12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75" name="TextBox 12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76" name="TextBox 12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77" name="TextBox 12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78" name="TextBox 12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79" name="TextBox 12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80" name="TextBox 12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81" name="TextBox 12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82" name="TextBox 12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83" name="TextBox 12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84" name="TextBox 12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85" name="TextBox 12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86" name="TextBox 12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87" name="TextBox 12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88" name="TextBox 12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89" name="TextBox 12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90" name="TextBox 12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91" name="TextBox 12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92" name="TextBox 12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93" name="TextBox 12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794" name="TextBox 12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795" name="TextBox 12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796" name="TextBox 12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797" name="TextBox 12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798" name="TextBox 12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799" name="TextBox 12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2800" name="TextBox 12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01" name="TextBox 12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02" name="TextBox 12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03" name="TextBox 12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04" name="TextBox 12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05" name="TextBox 12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06" name="TextBox 12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807" name="TextBox 12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808" name="TextBox 12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809" name="TextBox 12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810" name="TextBox 12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811" name="TextBox 12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812" name="TextBox 12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813" name="TextBox 12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814" name="TextBox 12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815" name="TextBox 12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816" name="TextBox 12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817" name="TextBox 12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818" name="TextBox 12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19" name="TextBox 12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20" name="TextBox 12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21" name="TextBox 12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22" name="TextBox 12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23" name="TextBox 12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24" name="TextBox 12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25" name="TextBox 12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26" name="TextBox 12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27" name="TextBox 12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28" name="TextBox 12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29" name="TextBox 12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30" name="TextBox 12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831" name="TextBox 12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832" name="TextBox 12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833" name="TextBox 12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834" name="TextBox 12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835" name="TextBox 12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836" name="TextBox 12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37" name="TextBox 12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38" name="TextBox 12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39" name="TextBox 12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40" name="TextBox 12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41" name="TextBox 12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42" name="TextBox 12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43" name="TextBox 12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44" name="TextBox 12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45" name="TextBox 12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46" name="TextBox 12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47" name="TextBox 12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48" name="TextBox 12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49" name="TextBox 12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50" name="TextBox 12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51" name="TextBox 12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52" name="TextBox 12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53" name="TextBox 12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54" name="TextBox 12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855" name="TextBox 12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856" name="TextBox 12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857" name="TextBox 12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858" name="TextBox 12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859" name="TextBox 12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860" name="TextBox 12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61" name="TextBox 12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62" name="TextBox 12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63" name="TextBox 12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64" name="TextBox 12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65" name="TextBox 12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66" name="TextBox 12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67" name="TextBox 12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68" name="TextBox 12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69" name="TextBox 12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70" name="TextBox 12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71" name="TextBox 12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72" name="TextBox 12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73" name="TextBox 12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74" name="TextBox 12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75" name="TextBox 12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76" name="TextBox 12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77" name="TextBox 12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78" name="TextBox 12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79" name="TextBox 12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80" name="TextBox 12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81" name="TextBox 12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82" name="TextBox 12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83" name="TextBox 12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84" name="TextBox 12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885" name="TextBox 12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886" name="TextBox 12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887" name="TextBox 12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888" name="TextBox 12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889" name="TextBox 12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890" name="TextBox 12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91" name="TextBox 12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92" name="TextBox 12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93" name="TextBox 12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94" name="TextBox 12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95" name="TextBox 12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96" name="TextBox 12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97" name="TextBox 12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98" name="TextBox 12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899" name="TextBox 12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00" name="TextBox 12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01" name="TextBox 12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02" name="TextBox 12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03" name="TextBox 12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04" name="TextBox 12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05" name="TextBox 12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06" name="TextBox 12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07" name="TextBox 12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08" name="TextBox 12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09" name="TextBox 12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10" name="TextBox 12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11" name="TextBox 12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12" name="TextBox 12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13" name="TextBox 12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14" name="TextBox 12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15" name="TextBox 12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16" name="TextBox 12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17" name="TextBox 12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18" name="TextBox 12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19" name="TextBox 12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20" name="TextBox 12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921" name="TextBox 12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922" name="TextBox 12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923" name="TextBox 12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924" name="TextBox 12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925" name="TextBox 12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926" name="TextBox 12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27" name="TextBox 12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28" name="TextBox 12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29" name="TextBox 12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30" name="TextBox 12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31" name="TextBox 12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32" name="TextBox 12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33" name="TextBox 12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34" name="TextBox 12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35" name="TextBox 12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36" name="TextBox 12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37" name="TextBox 12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38" name="TextBox 12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39" name="TextBox 12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40" name="TextBox 12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41" name="TextBox 12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42" name="TextBox 12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43" name="TextBox 12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44" name="TextBox 12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45" name="TextBox 12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46" name="TextBox 12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47" name="TextBox 12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48" name="TextBox 12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49" name="TextBox 12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50" name="TextBox 12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51" name="TextBox 12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52" name="TextBox 12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53" name="TextBox 12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54" name="TextBox 12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55" name="TextBox 12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56" name="TextBox 12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957" name="TextBox 12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958" name="TextBox 12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959" name="TextBox 12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960" name="TextBox 12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961" name="TextBox 12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2962" name="TextBox 12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63" name="TextBox 12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64" name="TextBox 12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65" name="TextBox 12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66" name="TextBox 12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67" name="TextBox 12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68" name="TextBox 12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69" name="TextBox 12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70" name="TextBox 12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71" name="TextBox 12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72" name="TextBox 12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73" name="TextBox 12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74" name="TextBox 12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75" name="TextBox 12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76" name="TextBox 12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77" name="TextBox 12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78" name="TextBox 12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79" name="TextBox 12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80" name="TextBox 12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81" name="TextBox 12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82" name="TextBox 12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83" name="TextBox 12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84" name="TextBox 12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85" name="TextBox 12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86" name="TextBox 12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87" name="TextBox 12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88" name="TextBox 12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89" name="TextBox 12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90" name="TextBox 12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91" name="TextBox 12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92" name="TextBox 12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93" name="TextBox 12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94" name="TextBox 12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95" name="TextBox 12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96" name="TextBox 12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97" name="TextBox 12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98" name="TextBox 12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2999" name="TextBox 12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000" name="TextBox 12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001" name="TextBox 13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002" name="TextBox 13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003" name="TextBox 13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004" name="TextBox 13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3005" name="TextBox 13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3006" name="TextBox 13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3007" name="TextBox 13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3008" name="TextBox 13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3009" name="TextBox 13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3010" name="TextBox 13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11" name="TextBox 13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12" name="TextBox 13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13" name="TextBox 13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14" name="TextBox 13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15" name="TextBox 13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16" name="TextBox 13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017" name="TextBox 13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018" name="TextBox 13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019" name="TextBox 13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020" name="TextBox 13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021" name="TextBox 13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022" name="TextBox 13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023" name="TextBox 13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024" name="TextBox 13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025" name="TextBox 13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026" name="TextBox 13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027" name="TextBox 13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028" name="TextBox 13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29" name="TextBox 13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30" name="TextBox 13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31" name="TextBox 13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32" name="TextBox 13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33" name="TextBox 13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34" name="TextBox 13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35" name="TextBox 13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36" name="TextBox 13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37" name="TextBox 13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38" name="TextBox 13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39" name="TextBox 13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40" name="TextBox 13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041" name="TextBox 13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042" name="TextBox 13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043" name="TextBox 13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044" name="TextBox 13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045" name="TextBox 13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046" name="TextBox 13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47" name="TextBox 13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48" name="TextBox 13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49" name="TextBox 13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50" name="TextBox 13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51" name="TextBox 13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52" name="TextBox 13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53" name="TextBox 13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54" name="TextBox 13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55" name="TextBox 13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56" name="TextBox 13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57" name="TextBox 13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58" name="TextBox 13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59" name="TextBox 13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60" name="TextBox 13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61" name="TextBox 13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62" name="TextBox 13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63" name="TextBox 13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64" name="TextBox 13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065" name="TextBox 13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066" name="TextBox 13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067" name="TextBox 13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068" name="TextBox 13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069" name="TextBox 13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070" name="TextBox 13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71" name="TextBox 13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72" name="TextBox 13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73" name="TextBox 13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74" name="TextBox 13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75" name="TextBox 13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76" name="TextBox 13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77" name="TextBox 13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78" name="TextBox 13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79" name="TextBox 13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80" name="TextBox 13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81" name="TextBox 13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82" name="TextBox 13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83" name="TextBox 13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84" name="TextBox 13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85" name="TextBox 13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86" name="TextBox 13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87" name="TextBox 13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88" name="TextBox 13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89" name="TextBox 13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90" name="TextBox 13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91" name="TextBox 13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92" name="TextBox 13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93" name="TextBox 13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094" name="TextBox 13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095" name="TextBox 13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096" name="TextBox 13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097" name="TextBox 13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098" name="TextBox 13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099" name="TextBox 13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100" name="TextBox 13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01" name="TextBox 13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02" name="TextBox 13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03" name="TextBox 13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04" name="TextBox 13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05" name="TextBox 13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06" name="TextBox 13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107" name="TextBox 13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108" name="TextBox 13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109" name="TextBox 13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110" name="TextBox 13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111" name="TextBox 13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112" name="TextBox 13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113" name="TextBox 13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114" name="TextBox 13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115" name="TextBox 13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116" name="TextBox 13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117" name="TextBox 13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118" name="TextBox 13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19" name="TextBox 13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20" name="TextBox 13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21" name="TextBox 13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22" name="TextBox 13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23" name="TextBox 13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24" name="TextBox 13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25" name="TextBox 13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26" name="TextBox 13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27" name="TextBox 13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28" name="TextBox 13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29" name="TextBox 13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30" name="TextBox 13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131" name="TextBox 13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132" name="TextBox 13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133" name="TextBox 13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134" name="TextBox 13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135" name="TextBox 13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136" name="TextBox 13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37" name="TextBox 13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38" name="TextBox 13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39" name="TextBox 13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40" name="TextBox 13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41" name="TextBox 13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42" name="TextBox 13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43" name="TextBox 13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44" name="TextBox 13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45" name="TextBox 13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46" name="TextBox 13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47" name="TextBox 13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48" name="TextBox 13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49" name="TextBox 13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50" name="TextBox 13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51" name="TextBox 13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52" name="TextBox 13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53" name="TextBox 13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54" name="TextBox 13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155" name="TextBox 13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156" name="TextBox 13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157" name="TextBox 13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158" name="TextBox 13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159" name="TextBox 13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160" name="TextBox 13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61" name="TextBox 13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62" name="TextBox 13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63" name="TextBox 13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64" name="TextBox 13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65" name="TextBox 13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66" name="TextBox 13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67" name="TextBox 13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68" name="TextBox 13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69" name="TextBox 13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70" name="TextBox 13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71" name="TextBox 13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72" name="TextBox 13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73" name="TextBox 13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74" name="TextBox 13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75" name="TextBox 13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76" name="TextBox 13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77" name="TextBox 13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78" name="TextBox 13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79" name="TextBox 13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80" name="TextBox 13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81" name="TextBox 13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82" name="TextBox 13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83" name="TextBox 13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84" name="TextBox 13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185" name="TextBox 13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186" name="TextBox 13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187" name="TextBox 13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188" name="TextBox 13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189" name="TextBox 13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190" name="TextBox 13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91" name="TextBox 13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92" name="TextBox 13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93" name="TextBox 13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94" name="TextBox 13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95" name="TextBox 13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96" name="TextBox 13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97" name="TextBox 13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98" name="TextBox 13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199" name="TextBox 13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00" name="TextBox 13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01" name="TextBox 13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02" name="TextBox 13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03" name="TextBox 13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04" name="TextBox 13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05" name="TextBox 13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06" name="TextBox 13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07" name="TextBox 13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08" name="TextBox 13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09" name="TextBox 13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10" name="TextBox 13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11" name="TextBox 13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12" name="TextBox 13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13" name="TextBox 13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14" name="TextBox 13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15" name="TextBox 13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16" name="TextBox 13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17" name="TextBox 13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18" name="TextBox 13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19" name="TextBox 13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20" name="TextBox 13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21" name="TextBox 13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22" name="TextBox 13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23" name="TextBox 13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24" name="TextBox 13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25" name="TextBox 13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26" name="TextBox 13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227" name="TextBox 13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228" name="TextBox 13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229" name="TextBox 13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230" name="TextBox 13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231" name="TextBox 13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232" name="TextBox 13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33" name="TextBox 13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34" name="TextBox 13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35" name="TextBox 13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36" name="TextBox 13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37" name="TextBox 13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38" name="TextBox 13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239" name="TextBox 13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240" name="TextBox 13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241" name="TextBox 13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242" name="TextBox 13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243" name="TextBox 13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244" name="TextBox 13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245" name="TextBox 13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246" name="TextBox 13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247" name="TextBox 13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248" name="TextBox 13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249" name="TextBox 13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250" name="TextBox 13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51" name="TextBox 13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52" name="TextBox 13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53" name="TextBox 13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54" name="TextBox 13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55" name="TextBox 13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56" name="TextBox 13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57" name="TextBox 13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58" name="TextBox 13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59" name="TextBox 13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60" name="TextBox 13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61" name="TextBox 13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62" name="TextBox 13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263" name="TextBox 13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264" name="TextBox 13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265" name="TextBox 13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266" name="TextBox 13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267" name="TextBox 13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268" name="TextBox 13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69" name="TextBox 13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70" name="TextBox 13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71" name="TextBox 13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72" name="TextBox 13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73" name="TextBox 13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74" name="TextBox 13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75" name="TextBox 13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76" name="TextBox 13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77" name="TextBox 13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78" name="TextBox 13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79" name="TextBox 13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80" name="TextBox 13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81" name="TextBox 13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82" name="TextBox 13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83" name="TextBox 13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84" name="TextBox 13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85" name="TextBox 13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86" name="TextBox 13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287" name="TextBox 13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288" name="TextBox 13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289" name="TextBox 13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290" name="TextBox 13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291" name="TextBox 13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292" name="TextBox 13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93" name="TextBox 13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94" name="TextBox 13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95" name="TextBox 13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96" name="TextBox 13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97" name="TextBox 13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98" name="TextBox 13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299" name="TextBox 13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00" name="TextBox 13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01" name="TextBox 13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02" name="TextBox 13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03" name="TextBox 13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04" name="TextBox 13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05" name="TextBox 13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06" name="TextBox 13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07" name="TextBox 13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08" name="TextBox 13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09" name="TextBox 13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10" name="TextBox 13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11" name="TextBox 13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12" name="TextBox 13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13" name="TextBox 13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14" name="TextBox 13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15" name="TextBox 13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16" name="TextBox 13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317" name="TextBox 13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318" name="TextBox 13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319" name="TextBox 13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320" name="TextBox 13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321" name="TextBox 13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322" name="TextBox 13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23" name="TextBox 13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24" name="TextBox 13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25" name="TextBox 13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26" name="TextBox 13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27" name="TextBox 13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28" name="TextBox 13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29" name="TextBox 13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30" name="TextBox 13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31" name="TextBox 13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32" name="TextBox 13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33" name="TextBox 13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34" name="TextBox 13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35" name="TextBox 13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36" name="TextBox 13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37" name="TextBox 13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38" name="TextBox 13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39" name="TextBox 13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40" name="TextBox 13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41" name="TextBox 13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42" name="TextBox 13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43" name="TextBox 13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44" name="TextBox 13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45" name="TextBox 13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46" name="TextBox 13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47" name="TextBox 13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48" name="TextBox 13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49" name="TextBox 13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50" name="TextBox 13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51" name="TextBox 13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52" name="TextBox 13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353" name="TextBox 13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354" name="TextBox 13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355" name="TextBox 13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356" name="TextBox 13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357" name="TextBox 13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358" name="TextBox 13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59" name="TextBox 13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60" name="TextBox 13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61" name="TextBox 13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62" name="TextBox 13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63" name="TextBox 13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64" name="TextBox 13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65" name="TextBox 13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66" name="TextBox 13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67" name="TextBox 13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68" name="TextBox 13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69" name="TextBox 13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70" name="TextBox 13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71" name="TextBox 13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72" name="TextBox 13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73" name="TextBox 13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74" name="TextBox 13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75" name="TextBox 13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76" name="TextBox 13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77" name="TextBox 13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78" name="TextBox 13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79" name="TextBox 13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80" name="TextBox 13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81" name="TextBox 13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82" name="TextBox 13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83" name="TextBox 13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84" name="TextBox 13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85" name="TextBox 13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86" name="TextBox 13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87" name="TextBox 13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88" name="TextBox 13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89" name="TextBox 13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90" name="TextBox 13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91" name="TextBox 13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92" name="TextBox 13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93" name="TextBox 13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94" name="TextBox 13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95" name="TextBox 13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96" name="TextBox 13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97" name="TextBox 13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98" name="TextBox 13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399" name="TextBox 13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400" name="TextBox 13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3401" name="TextBox 13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3402" name="TextBox 13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3403" name="TextBox 13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3404" name="TextBox 13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3405" name="TextBox 13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184731" cy="264560"/>
    <xdr:sp macro="" textlink="">
      <xdr:nvSpPr>
        <xdr:cNvPr id="13406" name="TextBox 13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07" name="TextBox 13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08" name="TextBox 13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09" name="TextBox 13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10" name="TextBox 13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11" name="TextBox 13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12" name="TextBox 13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413" name="TextBox 13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414" name="TextBox 13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415" name="TextBox 13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416" name="TextBox 13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417" name="TextBox 13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418" name="TextBox 13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419" name="TextBox 13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420" name="TextBox 13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421" name="TextBox 13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422" name="TextBox 13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423" name="TextBox 13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424" name="TextBox 13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25" name="TextBox 13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26" name="TextBox 13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27" name="TextBox 13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28" name="TextBox 13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29" name="TextBox 13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30" name="TextBox 13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31" name="TextBox 13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32" name="TextBox 13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33" name="TextBox 13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34" name="TextBox 13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35" name="TextBox 13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36" name="TextBox 13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437" name="TextBox 13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438" name="TextBox 13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439" name="TextBox 13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440" name="TextBox 13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441" name="TextBox 13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442" name="TextBox 13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43" name="TextBox 13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44" name="TextBox 13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45" name="TextBox 13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46" name="TextBox 13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47" name="TextBox 13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48" name="TextBox 13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49" name="TextBox 13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50" name="TextBox 13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51" name="TextBox 13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52" name="TextBox 13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53" name="TextBox 13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54" name="TextBox 13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55" name="TextBox 13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56" name="TextBox 13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57" name="TextBox 13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58" name="TextBox 13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59" name="TextBox 13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60" name="TextBox 13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461" name="TextBox 13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462" name="TextBox 13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463" name="TextBox 13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464" name="TextBox 13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465" name="TextBox 13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466" name="TextBox 13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67" name="TextBox 13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68" name="TextBox 13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69" name="TextBox 13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70" name="TextBox 13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71" name="TextBox 13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72" name="TextBox 13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73" name="TextBox 13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74" name="TextBox 13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75" name="TextBox 13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76" name="TextBox 13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77" name="TextBox 13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78" name="TextBox 13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79" name="TextBox 13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80" name="TextBox 13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81" name="TextBox 13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82" name="TextBox 13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83" name="TextBox 13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84" name="TextBox 13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85" name="TextBox 13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86" name="TextBox 13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87" name="TextBox 13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88" name="TextBox 13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89" name="TextBox 13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490" name="TextBox 13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491" name="TextBox 13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492" name="TextBox 13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493" name="TextBox 13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494" name="TextBox 13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495" name="TextBox 13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496" name="TextBox 13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497" name="TextBox 13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498" name="TextBox 13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499" name="TextBox 13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00" name="TextBox 13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01" name="TextBox 13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02" name="TextBox 13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503" name="TextBox 13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504" name="TextBox 13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505" name="TextBox 13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506" name="TextBox 13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507" name="TextBox 13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508" name="TextBox 13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509" name="TextBox 13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510" name="TextBox 13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511" name="TextBox 13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512" name="TextBox 13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513" name="TextBox 13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514" name="TextBox 13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15" name="TextBox 13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16" name="TextBox 13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17" name="TextBox 13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18" name="TextBox 13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19" name="TextBox 13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20" name="TextBox 13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21" name="TextBox 13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22" name="TextBox 13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23" name="TextBox 13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24" name="TextBox 13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25" name="TextBox 13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26" name="TextBox 13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527" name="TextBox 13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528" name="TextBox 13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529" name="TextBox 13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530" name="TextBox 13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531" name="TextBox 13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532" name="TextBox 13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33" name="TextBox 13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34" name="TextBox 13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35" name="TextBox 13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36" name="TextBox 13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37" name="TextBox 13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38" name="TextBox 13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39" name="TextBox 13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40" name="TextBox 13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41" name="TextBox 13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42" name="TextBox 13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43" name="TextBox 13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44" name="TextBox 13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45" name="TextBox 13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46" name="TextBox 13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47" name="TextBox 13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48" name="TextBox 13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49" name="TextBox 13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50" name="TextBox 13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551" name="TextBox 13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552" name="TextBox 13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553" name="TextBox 13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554" name="TextBox 13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555" name="TextBox 13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556" name="TextBox 13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57" name="TextBox 13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58" name="TextBox 13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59" name="TextBox 13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60" name="TextBox 13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61" name="TextBox 13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62" name="TextBox 13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63" name="TextBox 13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64" name="TextBox 13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65" name="TextBox 13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66" name="TextBox 13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67" name="TextBox 13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68" name="TextBox 13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69" name="TextBox 13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70" name="TextBox 13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71" name="TextBox 13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72" name="TextBox 13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73" name="TextBox 13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74" name="TextBox 13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75" name="TextBox 13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76" name="TextBox 13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77" name="TextBox 13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78" name="TextBox 13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79" name="TextBox 13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80" name="TextBox 13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581" name="TextBox 13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582" name="TextBox 13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583" name="TextBox 13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584" name="TextBox 13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585" name="TextBox 13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586" name="TextBox 13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587" name="TextBox 13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588" name="TextBox 13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589" name="TextBox 13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590" name="TextBox 13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591" name="TextBox 13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592" name="TextBox 13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93" name="TextBox 13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94" name="TextBox 13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95" name="TextBox 13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96" name="TextBox 13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97" name="TextBox 13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98" name="TextBox 13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599" name="TextBox 13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600" name="TextBox 13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601" name="TextBox 13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602" name="TextBox 13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603" name="TextBox 13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604" name="TextBox 13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05" name="TextBox 13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06" name="TextBox 13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07" name="TextBox 13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08" name="TextBox 13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09" name="TextBox 13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10" name="TextBox 13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11" name="TextBox 13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12" name="TextBox 13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13" name="TextBox 13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14" name="TextBox 13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15" name="TextBox 13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16" name="TextBox 13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617" name="TextBox 13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618" name="TextBox 13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619" name="TextBox 13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620" name="TextBox 13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621" name="TextBox 13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622" name="TextBox 13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23" name="TextBox 13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24" name="TextBox 13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25" name="TextBox 13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26" name="TextBox 13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27" name="TextBox 13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28" name="TextBox 13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29" name="TextBox 13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30" name="TextBox 13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31" name="TextBox 13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32" name="TextBox 13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33" name="TextBox 13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34" name="TextBox 13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35" name="TextBox 13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36" name="TextBox 13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37" name="TextBox 13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38" name="TextBox 13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39" name="TextBox 13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40" name="TextBox 13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641" name="TextBox 13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642" name="TextBox 13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643" name="TextBox 13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644" name="TextBox 13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645" name="TextBox 13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646" name="TextBox 13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47" name="TextBox 13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48" name="TextBox 13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49" name="TextBox 13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50" name="TextBox 13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51" name="TextBox 13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52" name="TextBox 13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53" name="TextBox 13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54" name="TextBox 13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55" name="TextBox 13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56" name="TextBox 13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57" name="TextBox 13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58" name="TextBox 13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59" name="TextBox 13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60" name="TextBox 13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61" name="TextBox 13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62" name="TextBox 13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63" name="TextBox 13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64" name="TextBox 13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65" name="TextBox 13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66" name="TextBox 13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67" name="TextBox 13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68" name="TextBox 13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69" name="TextBox 13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70" name="TextBox 13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671" name="TextBox 13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672" name="TextBox 13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673" name="TextBox 13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674" name="TextBox 13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675" name="TextBox 13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676" name="TextBox 13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77" name="TextBox 13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78" name="TextBox 13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79" name="TextBox 13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80" name="TextBox 13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81" name="TextBox 13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82" name="TextBox 13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83" name="TextBox 13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84" name="TextBox 13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85" name="TextBox 13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86" name="TextBox 13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87" name="TextBox 13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88" name="TextBox 13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89" name="TextBox 13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90" name="TextBox 13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91" name="TextBox 13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92" name="TextBox 13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93" name="TextBox 13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94" name="TextBox 13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95" name="TextBox 13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96" name="TextBox 13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97" name="TextBox 13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98" name="TextBox 13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699" name="TextBox 13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00" name="TextBox 13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01" name="TextBox 13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02" name="TextBox 13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03" name="TextBox 13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04" name="TextBox 13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05" name="TextBox 13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06" name="TextBox 13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07" name="TextBox 13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08" name="TextBox 13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09" name="TextBox 13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10" name="TextBox 13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11" name="TextBox 13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12" name="TextBox 13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13" name="TextBox 13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14" name="TextBox 13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15" name="TextBox 13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16" name="TextBox 13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17" name="TextBox 13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18" name="TextBox 13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19" name="TextBox 13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20" name="TextBox 13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21" name="TextBox 13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22" name="TextBox 13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23" name="TextBox 13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24" name="TextBox 13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25" name="TextBox 13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26" name="TextBox 13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27" name="TextBox 13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28" name="TextBox 13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29" name="TextBox 13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30" name="TextBox 13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31" name="TextBox 13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32" name="TextBox 13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33" name="TextBox 13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34" name="TextBox 13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35" name="TextBox 13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36" name="TextBox 13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37" name="TextBox 13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38" name="TextBox 13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39" name="TextBox 13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40" name="TextBox 13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41" name="TextBox 13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742" name="TextBox 13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743" name="TextBox 13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744" name="TextBox 13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745" name="TextBox 13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746" name="TextBox 13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747" name="TextBox 13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3748" name="TextBox 13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49" name="TextBox 13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50" name="TextBox 13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51" name="TextBox 13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52" name="TextBox 13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53" name="TextBox 13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54" name="TextBox 13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755" name="TextBox 13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756" name="TextBox 13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757" name="TextBox 13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758" name="TextBox 13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759" name="TextBox 13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760" name="TextBox 13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761" name="TextBox 13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762" name="TextBox 13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763" name="TextBox 13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764" name="TextBox 13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765" name="TextBox 13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766" name="TextBox 13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67" name="TextBox 13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68" name="TextBox 13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69" name="TextBox 13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70" name="TextBox 13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71" name="TextBox 13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72" name="TextBox 13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73" name="TextBox 13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74" name="TextBox 13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75" name="TextBox 13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76" name="TextBox 13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77" name="TextBox 13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78" name="TextBox 13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779" name="TextBox 13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780" name="TextBox 13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781" name="TextBox 13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782" name="TextBox 13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783" name="TextBox 13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784" name="TextBox 13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85" name="TextBox 13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86" name="TextBox 13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87" name="TextBox 13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88" name="TextBox 13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89" name="TextBox 13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90" name="TextBox 13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91" name="TextBox 13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92" name="TextBox 13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93" name="TextBox 13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94" name="TextBox 13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95" name="TextBox 13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96" name="TextBox 13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97" name="TextBox 13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98" name="TextBox 13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799" name="TextBox 13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00" name="TextBox 13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01" name="TextBox 13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02" name="TextBox 13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803" name="TextBox 13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804" name="TextBox 13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805" name="TextBox 13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806" name="TextBox 13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807" name="TextBox 13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808" name="TextBox 13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09" name="TextBox 13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10" name="TextBox 13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11" name="TextBox 13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12" name="TextBox 13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13" name="TextBox 13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14" name="TextBox 13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15" name="TextBox 13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16" name="TextBox 13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17" name="TextBox 13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18" name="TextBox 13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19" name="TextBox 13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20" name="TextBox 13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21" name="TextBox 13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22" name="TextBox 13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23" name="TextBox 13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24" name="TextBox 13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25" name="TextBox 13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26" name="TextBox 13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27" name="TextBox 13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28" name="TextBox 13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29" name="TextBox 13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30" name="TextBox 13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31" name="TextBox 13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32" name="TextBox 13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833" name="TextBox 13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834" name="TextBox 13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835" name="TextBox 13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836" name="TextBox 13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837" name="TextBox 13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838" name="TextBox 13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39" name="TextBox 13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40" name="TextBox 13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41" name="TextBox 13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42" name="TextBox 13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43" name="TextBox 13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44" name="TextBox 13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45" name="TextBox 13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46" name="TextBox 13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47" name="TextBox 13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48" name="TextBox 13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49" name="TextBox 13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50" name="TextBox 13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51" name="TextBox 13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52" name="TextBox 13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53" name="TextBox 13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54" name="TextBox 13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55" name="TextBox 13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56" name="TextBox 13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57" name="TextBox 13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58" name="TextBox 13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59" name="TextBox 13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60" name="TextBox 13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61" name="TextBox 13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62" name="TextBox 13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63" name="TextBox 13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64" name="TextBox 13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65" name="TextBox 13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66" name="TextBox 13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67" name="TextBox 13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68" name="TextBox 13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69" name="TextBox 13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70" name="TextBox 13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71" name="TextBox 13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72" name="TextBox 13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73" name="TextBox 13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74" name="TextBox 13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75" name="TextBox 13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76" name="TextBox 13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77" name="TextBox 13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78" name="TextBox 13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79" name="TextBox 13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80" name="TextBox 13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81" name="TextBox 13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82" name="TextBox 13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83" name="TextBox 13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84" name="TextBox 13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85" name="TextBox 13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86" name="TextBox 13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87" name="TextBox 13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88" name="TextBox 13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89" name="TextBox 13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90" name="TextBox 13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91" name="TextBox 13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92" name="TextBox 13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93" name="TextBox 13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94" name="TextBox 13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95" name="TextBox 13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96" name="TextBox 13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97" name="TextBox 13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898" name="TextBox 13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899" name="TextBox 13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00" name="TextBox 13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01" name="TextBox 13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02" name="TextBox 13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03" name="TextBox 13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04" name="TextBox 13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05" name="TextBox 13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06" name="TextBox 13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07" name="TextBox 13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08" name="TextBox 13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09" name="TextBox 13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10" name="TextBox 13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11" name="TextBox 13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12" name="TextBox 13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13" name="TextBox 13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14" name="TextBox 13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15" name="TextBox 13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16" name="TextBox 13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17" name="TextBox 13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18" name="TextBox 13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19" name="TextBox 13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20" name="TextBox 13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21" name="TextBox 13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22" name="TextBox 13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923" name="TextBox 13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924" name="TextBox 13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925" name="TextBox 13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926" name="TextBox 13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927" name="TextBox 13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928" name="TextBox 13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29" name="TextBox 13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30" name="TextBox 13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31" name="TextBox 13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32" name="TextBox 13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33" name="TextBox 13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34" name="TextBox 13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35" name="TextBox 13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36" name="TextBox 13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37" name="TextBox 13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38" name="TextBox 13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39" name="TextBox 13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40" name="TextBox 13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41" name="TextBox 13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42" name="TextBox 13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43" name="TextBox 13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44" name="TextBox 13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45" name="TextBox 13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46" name="TextBox 13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47" name="TextBox 13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48" name="TextBox 13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49" name="TextBox 13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50" name="TextBox 13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51" name="TextBox 13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52" name="TextBox 13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53" name="TextBox 13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54" name="TextBox 13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55" name="TextBox 13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56" name="TextBox 13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57" name="TextBox 13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58" name="TextBox 13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59" name="TextBox 13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60" name="TextBox 13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61" name="TextBox 13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62" name="TextBox 13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63" name="TextBox 13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64" name="TextBox 13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965" name="TextBox 13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966" name="TextBox 13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967" name="TextBox 13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968" name="TextBox 13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969" name="TextBox 13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3970" name="TextBox 13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71" name="TextBox 13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72" name="TextBox 13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73" name="TextBox 13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74" name="TextBox 13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75" name="TextBox 13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76" name="TextBox 13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977" name="TextBox 13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978" name="TextBox 13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979" name="TextBox 13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980" name="TextBox 13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981" name="TextBox 13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982" name="TextBox 13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983" name="TextBox 13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984" name="TextBox 13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985" name="TextBox 13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986" name="TextBox 13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987" name="TextBox 13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3988" name="TextBox 13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89" name="TextBox 13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90" name="TextBox 13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91" name="TextBox 13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92" name="TextBox 13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93" name="TextBox 13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94" name="TextBox 13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95" name="TextBox 13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96" name="TextBox 13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97" name="TextBox 13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98" name="TextBox 13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3999" name="TextBox 13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00" name="TextBox 13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001" name="TextBox 14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002" name="TextBox 14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003" name="TextBox 14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004" name="TextBox 14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005" name="TextBox 14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006" name="TextBox 14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07" name="TextBox 14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08" name="TextBox 14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09" name="TextBox 14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10" name="TextBox 14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11" name="TextBox 14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12" name="TextBox 14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13" name="TextBox 14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14" name="TextBox 14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15" name="TextBox 14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16" name="TextBox 14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17" name="TextBox 14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18" name="TextBox 14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19" name="TextBox 14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20" name="TextBox 14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21" name="TextBox 14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22" name="TextBox 14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23" name="TextBox 14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24" name="TextBox 14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025" name="TextBox 14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026" name="TextBox 14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027" name="TextBox 14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028" name="TextBox 14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029" name="TextBox 14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030" name="TextBox 14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31" name="TextBox 14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32" name="TextBox 14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33" name="TextBox 14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34" name="TextBox 14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35" name="TextBox 14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36" name="TextBox 14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37" name="TextBox 14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38" name="TextBox 14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39" name="TextBox 14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40" name="TextBox 14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41" name="TextBox 14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42" name="TextBox 14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43" name="TextBox 14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44" name="TextBox 14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45" name="TextBox 14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46" name="TextBox 14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47" name="TextBox 14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48" name="TextBox 14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49" name="TextBox 14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50" name="TextBox 14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51" name="TextBox 14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52" name="TextBox 14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53" name="TextBox 14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54" name="TextBox 14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055" name="TextBox 14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056" name="TextBox 14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057" name="TextBox 14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058" name="TextBox 14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059" name="TextBox 14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060" name="TextBox 14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61" name="TextBox 14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62" name="TextBox 14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63" name="TextBox 14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64" name="TextBox 14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65" name="TextBox 14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66" name="TextBox 14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67" name="TextBox 14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68" name="TextBox 14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69" name="TextBox 14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70" name="TextBox 14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71" name="TextBox 14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72" name="TextBox 14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73" name="TextBox 14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74" name="TextBox 14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75" name="TextBox 14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76" name="TextBox 14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77" name="TextBox 14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78" name="TextBox 14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79" name="TextBox 14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80" name="TextBox 14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81" name="TextBox 14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82" name="TextBox 14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83" name="TextBox 14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84" name="TextBox 14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85" name="TextBox 14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86" name="TextBox 14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87" name="TextBox 14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88" name="TextBox 14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89" name="TextBox 14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90" name="TextBox 14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091" name="TextBox 14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092" name="TextBox 14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093" name="TextBox 14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094" name="TextBox 14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095" name="TextBox 14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096" name="TextBox 14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97" name="TextBox 14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98" name="TextBox 14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099" name="TextBox 14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00" name="TextBox 14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01" name="TextBox 14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02" name="TextBox 14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03" name="TextBox 14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04" name="TextBox 14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05" name="TextBox 14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06" name="TextBox 14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07" name="TextBox 14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08" name="TextBox 14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09" name="TextBox 14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10" name="TextBox 14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11" name="TextBox 14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12" name="TextBox 14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13" name="TextBox 14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14" name="TextBox 14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15" name="TextBox 14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16" name="TextBox 14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17" name="TextBox 14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18" name="TextBox 14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19" name="TextBox 14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20" name="TextBox 14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21" name="TextBox 14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22" name="TextBox 14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23" name="TextBox 14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24" name="TextBox 14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25" name="TextBox 14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26" name="TextBox 14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127" name="TextBox 14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128" name="TextBox 14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129" name="TextBox 14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130" name="TextBox 14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131" name="TextBox 14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132" name="TextBox 14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33" name="TextBox 14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34" name="TextBox 14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35" name="TextBox 14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36" name="TextBox 14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37" name="TextBox 14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38" name="TextBox 14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39" name="TextBox 14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40" name="TextBox 14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41" name="TextBox 14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42" name="TextBox 14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43" name="TextBox 14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44" name="TextBox 14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45" name="TextBox 14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46" name="TextBox 14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47" name="TextBox 14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48" name="TextBox 14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49" name="TextBox 14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50" name="TextBox 14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51" name="TextBox 14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52" name="TextBox 14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53" name="TextBox 14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54" name="TextBox 14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55" name="TextBox 14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56" name="TextBox 14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57" name="TextBox 14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58" name="TextBox 14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59" name="TextBox 14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60" name="TextBox 14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61" name="TextBox 14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62" name="TextBox 14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63" name="TextBox 14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64" name="TextBox 14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65" name="TextBox 14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66" name="TextBox 14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67" name="TextBox 14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68" name="TextBox 14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69" name="TextBox 14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70" name="TextBox 14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71" name="TextBox 14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72" name="TextBox 14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73" name="TextBox 14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174" name="TextBox 14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4175" name="TextBox 14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4176" name="TextBox 14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4177" name="TextBox 14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4178" name="TextBox 14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4179" name="TextBox 14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4180" name="TextBox 14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181" name="TextBox 14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182" name="TextBox 14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183" name="TextBox 14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184" name="TextBox 14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185" name="TextBox 14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186" name="TextBox 14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187" name="TextBox 14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188" name="TextBox 14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189" name="TextBox 14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190" name="TextBox 14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191" name="TextBox 14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192" name="TextBox 14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193" name="TextBox 14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194" name="TextBox 14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195" name="TextBox 14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196" name="TextBox 14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197" name="TextBox 14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198" name="TextBox 14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199" name="TextBox 14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00" name="TextBox 14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01" name="TextBox 14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02" name="TextBox 14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03" name="TextBox 14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04" name="TextBox 14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05" name="TextBox 14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06" name="TextBox 14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07" name="TextBox 14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08" name="TextBox 14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09" name="TextBox 14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10" name="TextBox 14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211" name="TextBox 14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212" name="TextBox 14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213" name="TextBox 14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214" name="TextBox 14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215" name="TextBox 14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216" name="TextBox 14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17" name="TextBox 14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18" name="TextBox 14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19" name="TextBox 14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20" name="TextBox 14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21" name="TextBox 14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22" name="TextBox 14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23" name="TextBox 14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24" name="TextBox 14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25" name="TextBox 14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26" name="TextBox 14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27" name="TextBox 14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28" name="TextBox 14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29" name="TextBox 14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30" name="TextBox 14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31" name="TextBox 14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32" name="TextBox 14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33" name="TextBox 14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34" name="TextBox 14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235" name="TextBox 14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236" name="TextBox 14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237" name="TextBox 14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238" name="TextBox 14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239" name="TextBox 14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240" name="TextBox 14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41" name="TextBox 14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42" name="TextBox 14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43" name="TextBox 14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44" name="TextBox 14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45" name="TextBox 14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46" name="TextBox 14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47" name="TextBox 14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48" name="TextBox 14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49" name="TextBox 14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50" name="TextBox 14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51" name="TextBox 14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52" name="TextBox 14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53" name="TextBox 14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54" name="TextBox 14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55" name="TextBox 14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56" name="TextBox 14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57" name="TextBox 14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58" name="TextBox 14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59" name="TextBox 14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60" name="TextBox 14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61" name="TextBox 14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62" name="TextBox 14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63" name="TextBox 14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64" name="TextBox 14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265" name="TextBox 14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266" name="TextBox 14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267" name="TextBox 14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268" name="TextBox 14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269" name="TextBox 14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270" name="TextBox 14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271" name="TextBox 14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272" name="TextBox 14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273" name="TextBox 14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274" name="TextBox 14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275" name="TextBox 14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276" name="TextBox 14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77" name="TextBox 14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78" name="TextBox 14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79" name="TextBox 14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80" name="TextBox 14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81" name="TextBox 14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82" name="TextBox 14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83" name="TextBox 14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84" name="TextBox 14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85" name="TextBox 14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86" name="TextBox 14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87" name="TextBox 14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288" name="TextBox 14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289" name="TextBox 14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290" name="TextBox 14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291" name="TextBox 14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292" name="TextBox 14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293" name="TextBox 14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294" name="TextBox 14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295" name="TextBox 14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296" name="TextBox 14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297" name="TextBox 14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298" name="TextBox 14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299" name="TextBox 14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00" name="TextBox 14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301" name="TextBox 14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302" name="TextBox 14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303" name="TextBox 14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304" name="TextBox 14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305" name="TextBox 14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306" name="TextBox 14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07" name="TextBox 14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08" name="TextBox 14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09" name="TextBox 14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10" name="TextBox 14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11" name="TextBox 14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12" name="TextBox 14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13" name="TextBox 14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14" name="TextBox 14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15" name="TextBox 14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16" name="TextBox 14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17" name="TextBox 14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18" name="TextBox 14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19" name="TextBox 14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20" name="TextBox 14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21" name="TextBox 14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22" name="TextBox 14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23" name="TextBox 14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24" name="TextBox 14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325" name="TextBox 14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326" name="TextBox 14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327" name="TextBox 14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328" name="TextBox 14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329" name="TextBox 14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330" name="TextBox 14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31" name="TextBox 14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32" name="TextBox 14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33" name="TextBox 14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34" name="TextBox 14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35" name="TextBox 14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36" name="TextBox 14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37" name="TextBox 14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38" name="TextBox 14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39" name="TextBox 14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40" name="TextBox 14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41" name="TextBox 14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42" name="TextBox 14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43" name="TextBox 14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44" name="TextBox 14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45" name="TextBox 14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46" name="TextBox 14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47" name="TextBox 14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48" name="TextBox 14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49" name="TextBox 14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50" name="TextBox 14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51" name="TextBox 14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52" name="TextBox 14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53" name="TextBox 14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54" name="TextBox 14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355" name="TextBox 14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356" name="TextBox 14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357" name="TextBox 14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358" name="TextBox 14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359" name="TextBox 14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360" name="TextBox 14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61" name="TextBox 14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62" name="TextBox 14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63" name="TextBox 14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64" name="TextBox 14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65" name="TextBox 14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66" name="TextBox 14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67" name="TextBox 14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68" name="TextBox 14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69" name="TextBox 14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70" name="TextBox 14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71" name="TextBox 14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72" name="TextBox 14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73" name="TextBox 14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74" name="TextBox 14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75" name="TextBox 14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76" name="TextBox 14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77" name="TextBox 14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78" name="TextBox 14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79" name="TextBox 14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80" name="TextBox 14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81" name="TextBox 14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82" name="TextBox 14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83" name="TextBox 14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84" name="TextBox 14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85" name="TextBox 14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86" name="TextBox 14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87" name="TextBox 14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88" name="TextBox 14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89" name="TextBox 14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90" name="TextBox 14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91" name="TextBox 14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92" name="TextBox 14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93" name="TextBox 14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94" name="TextBox 14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95" name="TextBox 14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396" name="TextBox 14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397" name="TextBox 14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398" name="TextBox 14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399" name="TextBox 14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400" name="TextBox 14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401" name="TextBox 14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402" name="TextBox 14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03" name="TextBox 14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04" name="TextBox 14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05" name="TextBox 14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06" name="TextBox 14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07" name="TextBox 14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08" name="TextBox 14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409" name="TextBox 14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410" name="TextBox 14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411" name="TextBox 14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412" name="TextBox 14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413" name="TextBox 14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414" name="TextBox 14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415" name="TextBox 14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416" name="TextBox 14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417" name="TextBox 14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418" name="TextBox 14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419" name="TextBox 14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420" name="TextBox 14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21" name="TextBox 14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22" name="TextBox 14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23" name="TextBox 14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24" name="TextBox 14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25" name="TextBox 14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26" name="TextBox 14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27" name="TextBox 14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28" name="TextBox 14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29" name="TextBox 14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30" name="TextBox 14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31" name="TextBox 14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32" name="TextBox 14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433" name="TextBox 14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434" name="TextBox 14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435" name="TextBox 14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436" name="TextBox 14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437" name="TextBox 14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438" name="TextBox 14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39" name="TextBox 14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40" name="TextBox 14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41" name="TextBox 14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42" name="TextBox 14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43" name="TextBox 14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44" name="TextBox 14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45" name="TextBox 14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46" name="TextBox 14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47" name="TextBox 14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48" name="TextBox 14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49" name="TextBox 14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50" name="TextBox 14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51" name="TextBox 14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52" name="TextBox 14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53" name="TextBox 14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54" name="TextBox 14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55" name="TextBox 14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56" name="TextBox 14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457" name="TextBox 14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458" name="TextBox 14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459" name="TextBox 14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460" name="TextBox 14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461" name="TextBox 14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462" name="TextBox 14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63" name="TextBox 14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64" name="TextBox 14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65" name="TextBox 14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66" name="TextBox 14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67" name="TextBox 14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68" name="TextBox 14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69" name="TextBox 14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70" name="TextBox 14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71" name="TextBox 14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72" name="TextBox 14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73" name="TextBox 14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74" name="TextBox 14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75" name="TextBox 14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76" name="TextBox 14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77" name="TextBox 14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78" name="TextBox 14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79" name="TextBox 14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80" name="TextBox 14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81" name="TextBox 14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82" name="TextBox 14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83" name="TextBox 14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84" name="TextBox 14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85" name="TextBox 14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86" name="TextBox 14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487" name="TextBox 14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488" name="TextBox 14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489" name="TextBox 14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490" name="TextBox 14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491" name="TextBox 14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492" name="TextBox 14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93" name="TextBox 14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94" name="TextBox 14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95" name="TextBox 14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96" name="TextBox 14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97" name="TextBox 14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98" name="TextBox 14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499" name="TextBox 14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00" name="TextBox 14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01" name="TextBox 14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02" name="TextBox 14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03" name="TextBox 14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04" name="TextBox 14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05" name="TextBox 14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06" name="TextBox 14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07" name="TextBox 14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08" name="TextBox 14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09" name="TextBox 14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10" name="TextBox 14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11" name="TextBox 14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12" name="TextBox 14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13" name="TextBox 14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14" name="TextBox 14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15" name="TextBox 14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16" name="TextBox 14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17" name="TextBox 14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18" name="TextBox 14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19" name="TextBox 14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20" name="TextBox 14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21" name="TextBox 14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22" name="TextBox 14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523" name="TextBox 14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524" name="TextBox 14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525" name="TextBox 14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526" name="TextBox 14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527" name="TextBox 14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528" name="TextBox 14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29" name="TextBox 14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30" name="TextBox 14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31" name="TextBox 14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32" name="TextBox 14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33" name="TextBox 14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34" name="TextBox 14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35" name="TextBox 14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36" name="TextBox 14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37" name="TextBox 14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38" name="TextBox 14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39" name="TextBox 14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40" name="TextBox 14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41" name="TextBox 14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42" name="TextBox 14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43" name="TextBox 14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44" name="TextBox 14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45" name="TextBox 14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46" name="TextBox 14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47" name="TextBox 14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48" name="TextBox 14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49" name="TextBox 14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50" name="TextBox 14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51" name="TextBox 14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52" name="TextBox 14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53" name="TextBox 14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54" name="TextBox 14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55" name="TextBox 14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56" name="TextBox 14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57" name="TextBox 14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58" name="TextBox 14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59" name="TextBox 14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60" name="TextBox 14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61" name="TextBox 14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62" name="TextBox 14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63" name="TextBox 14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64" name="TextBox 14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65" name="TextBox 14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66" name="TextBox 14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67" name="TextBox 14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68" name="TextBox 14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69" name="TextBox 14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70" name="TextBox 14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571" name="TextBox 14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572" name="TextBox 14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573" name="TextBox 14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574" name="TextBox 14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575" name="TextBox 14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576" name="TextBox 14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77" name="TextBox 14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78" name="TextBox 14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79" name="TextBox 14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80" name="TextBox 14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81" name="TextBox 14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82" name="TextBox 14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583" name="TextBox 14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584" name="TextBox 14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585" name="TextBox 14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586" name="TextBox 14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587" name="TextBox 14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588" name="TextBox 14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589" name="TextBox 14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590" name="TextBox 14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591" name="TextBox 14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592" name="TextBox 14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593" name="TextBox 14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594" name="TextBox 14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95" name="TextBox 14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96" name="TextBox 14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97" name="TextBox 14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98" name="TextBox 14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599" name="TextBox 14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00" name="TextBox 14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01" name="TextBox 14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02" name="TextBox 14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03" name="TextBox 14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04" name="TextBox 14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05" name="TextBox 14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06" name="TextBox 14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607" name="TextBox 14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608" name="TextBox 14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609" name="TextBox 14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610" name="TextBox 14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611" name="TextBox 14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612" name="TextBox 14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13" name="TextBox 14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14" name="TextBox 14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15" name="TextBox 14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16" name="TextBox 14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17" name="TextBox 14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18" name="TextBox 14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19" name="TextBox 14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20" name="TextBox 14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21" name="TextBox 14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22" name="TextBox 14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23" name="TextBox 14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24" name="TextBox 14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25" name="TextBox 14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26" name="TextBox 14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27" name="TextBox 14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28" name="TextBox 14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29" name="TextBox 14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30" name="TextBox 14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631" name="TextBox 14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632" name="TextBox 14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633" name="TextBox 14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634" name="TextBox 14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635" name="TextBox 14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636" name="TextBox 14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37" name="TextBox 14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38" name="TextBox 14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39" name="TextBox 14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40" name="TextBox 14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41" name="TextBox 14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42" name="TextBox 14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43" name="TextBox 14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44" name="TextBox 14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45" name="TextBox 14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46" name="TextBox 14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47" name="TextBox 14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48" name="TextBox 14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49" name="TextBox 14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50" name="TextBox 14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51" name="TextBox 14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52" name="TextBox 14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53" name="TextBox 14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54" name="TextBox 14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55" name="TextBox 14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56" name="TextBox 14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57" name="TextBox 14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58" name="TextBox 14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59" name="TextBox 14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60" name="TextBox 14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661" name="TextBox 14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662" name="TextBox 14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663" name="TextBox 14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664" name="TextBox 14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665" name="TextBox 14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666" name="TextBox 14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67" name="TextBox 14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68" name="TextBox 14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69" name="TextBox 14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70" name="TextBox 14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71" name="TextBox 14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72" name="TextBox 14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73" name="TextBox 14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74" name="TextBox 14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75" name="TextBox 14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76" name="TextBox 14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77" name="TextBox 14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78" name="TextBox 14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79" name="TextBox 14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80" name="TextBox 14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81" name="TextBox 14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82" name="TextBox 14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83" name="TextBox 14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84" name="TextBox 14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85" name="TextBox 14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86" name="TextBox 14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87" name="TextBox 14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88" name="TextBox 14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89" name="TextBox 14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90" name="TextBox 14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91" name="TextBox 14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92" name="TextBox 14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93" name="TextBox 14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94" name="TextBox 14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95" name="TextBox 14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696" name="TextBox 14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697" name="TextBox 14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698" name="TextBox 14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699" name="TextBox 14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700" name="TextBox 14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701" name="TextBox 14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702" name="TextBox 14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03" name="TextBox 14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04" name="TextBox 14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05" name="TextBox 14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06" name="TextBox 14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07" name="TextBox 14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08" name="TextBox 14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09" name="TextBox 14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10" name="TextBox 14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11" name="TextBox 14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12" name="TextBox 14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13" name="TextBox 14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14" name="TextBox 14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15" name="TextBox 14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16" name="TextBox 14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17" name="TextBox 14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18" name="TextBox 14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19" name="TextBox 14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20" name="TextBox 14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21" name="TextBox 14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22" name="TextBox 14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23" name="TextBox 14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24" name="TextBox 14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25" name="TextBox 14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26" name="TextBox 14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27" name="TextBox 14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28" name="TextBox 14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29" name="TextBox 14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30" name="TextBox 14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31" name="TextBox 14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32" name="TextBox 14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33" name="TextBox 14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34" name="TextBox 14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35" name="TextBox 14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36" name="TextBox 14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37" name="TextBox 14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38" name="TextBox 14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739" name="TextBox 14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740" name="TextBox 14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741" name="TextBox 14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742" name="TextBox 14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743" name="TextBox 14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744" name="TextBox 14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45" name="TextBox 14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46" name="TextBox 14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47" name="TextBox 14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48" name="TextBox 14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49" name="TextBox 14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50" name="TextBox 14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51" name="TextBox 14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52" name="TextBox 14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53" name="TextBox 14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54" name="TextBox 14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55" name="TextBox 14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56" name="TextBox 14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57" name="TextBox 14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58" name="TextBox 14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59" name="TextBox 14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60" name="TextBox 14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61" name="TextBox 14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62" name="TextBox 14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63" name="TextBox 14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64" name="TextBox 14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65" name="TextBox 14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66" name="TextBox 14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67" name="TextBox 14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68" name="TextBox 14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69" name="TextBox 14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70" name="TextBox 14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71" name="TextBox 14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72" name="TextBox 14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73" name="TextBox 14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74" name="TextBox 14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75" name="TextBox 14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76" name="TextBox 14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77" name="TextBox 14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78" name="TextBox 14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79" name="TextBox 14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780" name="TextBox 14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4781" name="TextBox 14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4782" name="TextBox 14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4783" name="TextBox 14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4784" name="TextBox 14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4785" name="TextBox 14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84731" cy="264560"/>
    <xdr:sp macro="" textlink="">
      <xdr:nvSpPr>
        <xdr:cNvPr id="14786" name="TextBox 14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787" name="TextBox 14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788" name="TextBox 14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789" name="TextBox 14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790" name="TextBox 14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791" name="TextBox 14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792" name="TextBox 14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793" name="TextBox 14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794" name="TextBox 14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795" name="TextBox 14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796" name="TextBox 14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797" name="TextBox 14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798" name="TextBox 14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799" name="TextBox 14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800" name="TextBox 14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801" name="TextBox 14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802" name="TextBox 14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803" name="TextBox 14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804" name="TextBox 14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05" name="TextBox 14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06" name="TextBox 14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07" name="TextBox 14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08" name="TextBox 14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09" name="TextBox 14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10" name="TextBox 14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11" name="TextBox 14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12" name="TextBox 14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13" name="TextBox 14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14" name="TextBox 14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15" name="TextBox 14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16" name="TextBox 14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817" name="TextBox 14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818" name="TextBox 14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819" name="TextBox 14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820" name="TextBox 14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821" name="TextBox 14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822" name="TextBox 14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23" name="TextBox 14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24" name="TextBox 14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25" name="TextBox 14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26" name="TextBox 14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27" name="TextBox 14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28" name="TextBox 14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29" name="TextBox 14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30" name="TextBox 14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31" name="TextBox 14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32" name="TextBox 14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33" name="TextBox 14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34" name="TextBox 14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35" name="TextBox 14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36" name="TextBox 14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37" name="TextBox 14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38" name="TextBox 14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39" name="TextBox 14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40" name="TextBox 14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841" name="TextBox 14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842" name="TextBox 14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843" name="TextBox 14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844" name="TextBox 14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845" name="TextBox 14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846" name="TextBox 14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47" name="TextBox 14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48" name="TextBox 14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49" name="TextBox 14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50" name="TextBox 14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51" name="TextBox 14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52" name="TextBox 14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53" name="TextBox 14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54" name="TextBox 14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55" name="TextBox 14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56" name="TextBox 14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57" name="TextBox 14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58" name="TextBox 14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59" name="TextBox 14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60" name="TextBox 14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61" name="TextBox 14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62" name="TextBox 14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63" name="TextBox 14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64" name="TextBox 14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65" name="TextBox 14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66" name="TextBox 14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67" name="TextBox 14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68" name="TextBox 14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69" name="TextBox 14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70" name="TextBox 14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871" name="TextBox 14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872" name="TextBox 14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873" name="TextBox 14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874" name="TextBox 14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875" name="TextBox 14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4876" name="TextBox 14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877" name="TextBox 14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878" name="TextBox 14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879" name="TextBox 14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880" name="TextBox 14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881" name="TextBox 14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882" name="TextBox 14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83" name="TextBox 14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84" name="TextBox 14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85" name="TextBox 14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86" name="TextBox 14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87" name="TextBox 14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88" name="TextBox 14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89" name="TextBox 14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90" name="TextBox 14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91" name="TextBox 14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92" name="TextBox 14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93" name="TextBox 14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894" name="TextBox 14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895" name="TextBox 14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896" name="TextBox 14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897" name="TextBox 14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898" name="TextBox 14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899" name="TextBox 14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00" name="TextBox 14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01" name="TextBox 14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02" name="TextBox 14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03" name="TextBox 14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04" name="TextBox 14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05" name="TextBox 14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06" name="TextBox 14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907" name="TextBox 14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908" name="TextBox 14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909" name="TextBox 14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910" name="TextBox 14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911" name="TextBox 14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912" name="TextBox 14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13" name="TextBox 14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14" name="TextBox 14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15" name="TextBox 14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16" name="TextBox 14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17" name="TextBox 14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18" name="TextBox 14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19" name="TextBox 14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20" name="TextBox 14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21" name="TextBox 14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22" name="TextBox 14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23" name="TextBox 14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24" name="TextBox 14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25" name="TextBox 14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26" name="TextBox 14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27" name="TextBox 14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28" name="TextBox 14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29" name="TextBox 14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30" name="TextBox 14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931" name="TextBox 14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932" name="TextBox 14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933" name="TextBox 14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934" name="TextBox 14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935" name="TextBox 14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936" name="TextBox 14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37" name="TextBox 14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38" name="TextBox 14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39" name="TextBox 14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40" name="TextBox 14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41" name="TextBox 14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42" name="TextBox 14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43" name="TextBox 14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44" name="TextBox 14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45" name="TextBox 14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46" name="TextBox 14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47" name="TextBox 14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48" name="TextBox 14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49" name="TextBox 14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50" name="TextBox 14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51" name="TextBox 14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52" name="TextBox 14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53" name="TextBox 14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54" name="TextBox 14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55" name="TextBox 14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56" name="TextBox 14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57" name="TextBox 14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58" name="TextBox 14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59" name="TextBox 14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60" name="TextBox 14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961" name="TextBox 14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962" name="TextBox 14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963" name="TextBox 14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964" name="TextBox 14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965" name="TextBox 14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4966" name="TextBox 14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4967" name="TextBox 14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4968" name="TextBox 14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4969" name="TextBox 14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4970" name="TextBox 14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4971" name="TextBox 14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4972" name="TextBox 14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73" name="TextBox 14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74" name="TextBox 14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75" name="TextBox 14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76" name="TextBox 14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77" name="TextBox 14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78" name="TextBox 14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79" name="TextBox 14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80" name="TextBox 14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81" name="TextBox 14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82" name="TextBox 14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83" name="TextBox 14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84" name="TextBox 14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4985" name="TextBox 14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4986" name="TextBox 14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4987" name="TextBox 14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4988" name="TextBox 14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4989" name="TextBox 14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4990" name="TextBox 14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4991" name="TextBox 14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4992" name="TextBox 14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4993" name="TextBox 14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4994" name="TextBox 14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4995" name="TextBox 14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4996" name="TextBox 14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97" name="TextBox 14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98" name="TextBox 14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4999" name="TextBox 14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000" name="TextBox 14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001" name="TextBox 15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002" name="TextBox 15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03" name="TextBox 15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04" name="TextBox 15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05" name="TextBox 15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06" name="TextBox 15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07" name="TextBox 15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08" name="TextBox 15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09" name="TextBox 15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10" name="TextBox 15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11" name="TextBox 15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12" name="TextBox 15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13" name="TextBox 15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14" name="TextBox 15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15" name="TextBox 15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16" name="TextBox 15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17" name="TextBox 15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18" name="TextBox 15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19" name="TextBox 15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20" name="TextBox 15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021" name="TextBox 15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022" name="TextBox 15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023" name="TextBox 15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024" name="TextBox 15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025" name="TextBox 15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026" name="TextBox 15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27" name="TextBox 15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28" name="TextBox 15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29" name="TextBox 15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30" name="TextBox 15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31" name="TextBox 15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32" name="TextBox 15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33" name="TextBox 15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34" name="TextBox 15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35" name="TextBox 15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36" name="TextBox 15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37" name="TextBox 15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38" name="TextBox 15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39" name="TextBox 15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40" name="TextBox 15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41" name="TextBox 15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42" name="TextBox 15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43" name="TextBox 15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44" name="TextBox 15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45" name="TextBox 15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46" name="TextBox 15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47" name="TextBox 15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48" name="TextBox 15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49" name="TextBox 15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50" name="TextBox 15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051" name="TextBox 15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052" name="TextBox 15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053" name="TextBox 15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054" name="TextBox 15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055" name="TextBox 15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056" name="TextBox 15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57" name="TextBox 15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58" name="TextBox 15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59" name="TextBox 15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60" name="TextBox 15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61" name="TextBox 15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62" name="TextBox 15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63" name="TextBox 15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64" name="TextBox 15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65" name="TextBox 15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66" name="TextBox 15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67" name="TextBox 15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68" name="TextBox 15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69" name="TextBox 15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70" name="TextBox 15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71" name="TextBox 15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72" name="TextBox 15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73" name="TextBox 15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74" name="TextBox 15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75" name="TextBox 15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76" name="TextBox 15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77" name="TextBox 15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78" name="TextBox 15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79" name="TextBox 15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80" name="TextBox 15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081" name="TextBox 15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082" name="TextBox 15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083" name="TextBox 15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084" name="TextBox 15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085" name="TextBox 15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086" name="TextBox 15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87" name="TextBox 15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88" name="TextBox 15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89" name="TextBox 15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90" name="TextBox 15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91" name="TextBox 15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92" name="TextBox 15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93" name="TextBox 15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94" name="TextBox 15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95" name="TextBox 15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96" name="TextBox 15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97" name="TextBox 15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98" name="TextBox 15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099" name="TextBox 15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100" name="TextBox 15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101" name="TextBox 15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102" name="TextBox 15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103" name="TextBox 15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104" name="TextBox 15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105" name="TextBox 15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106" name="TextBox 15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107" name="TextBox 15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108" name="TextBox 15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109" name="TextBox 15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110" name="TextBox 15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111" name="TextBox 15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112" name="TextBox 15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113" name="TextBox 15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114" name="TextBox 15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115" name="TextBox 15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116" name="TextBox 15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117" name="TextBox 15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118" name="TextBox 15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119" name="TextBox 15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120" name="TextBox 15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121" name="TextBox 15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122" name="TextBox 15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123" name="TextBox 15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124" name="TextBox 15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125" name="TextBox 15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126" name="TextBox 15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127" name="TextBox 15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128" name="TextBox 15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29" name="TextBox 15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30" name="TextBox 15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31" name="TextBox 15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32" name="TextBox 15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33" name="TextBox 15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34" name="TextBox 15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135" name="TextBox 15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136" name="TextBox 15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137" name="TextBox 15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138" name="TextBox 15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139" name="TextBox 15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140" name="TextBox 15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141" name="TextBox 15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142" name="TextBox 15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143" name="TextBox 15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144" name="TextBox 15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145" name="TextBox 15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146" name="TextBox 15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47" name="TextBox 15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48" name="TextBox 15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49" name="TextBox 15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50" name="TextBox 15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51" name="TextBox 15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52" name="TextBox 15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53" name="TextBox 15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54" name="TextBox 15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55" name="TextBox 15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56" name="TextBox 15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57" name="TextBox 15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58" name="TextBox 15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159" name="TextBox 15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160" name="TextBox 15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161" name="TextBox 15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162" name="TextBox 15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163" name="TextBox 15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164" name="TextBox 15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65" name="TextBox 15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66" name="TextBox 15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67" name="TextBox 15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68" name="TextBox 15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69" name="TextBox 15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70" name="TextBox 15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71" name="TextBox 15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72" name="TextBox 15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73" name="TextBox 15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74" name="TextBox 15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75" name="TextBox 15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76" name="TextBox 15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77" name="TextBox 15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78" name="TextBox 15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79" name="TextBox 15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80" name="TextBox 15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81" name="TextBox 15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82" name="TextBox 15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183" name="TextBox 15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184" name="TextBox 15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185" name="TextBox 15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186" name="TextBox 15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187" name="TextBox 15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188" name="TextBox 15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89" name="TextBox 15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90" name="TextBox 15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91" name="TextBox 15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92" name="TextBox 15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93" name="TextBox 15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94" name="TextBox 15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95" name="TextBox 15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96" name="TextBox 15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97" name="TextBox 15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98" name="TextBox 15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199" name="TextBox 15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00" name="TextBox 15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01" name="TextBox 15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02" name="TextBox 15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03" name="TextBox 15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04" name="TextBox 15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05" name="TextBox 15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06" name="TextBox 15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07" name="TextBox 15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08" name="TextBox 15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09" name="TextBox 15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10" name="TextBox 15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11" name="TextBox 15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12" name="TextBox 15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213" name="TextBox 15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214" name="TextBox 15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215" name="TextBox 15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216" name="TextBox 15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217" name="TextBox 15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218" name="TextBox 15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19" name="TextBox 15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20" name="TextBox 15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21" name="TextBox 15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22" name="TextBox 15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23" name="TextBox 15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24" name="TextBox 15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25" name="TextBox 15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26" name="TextBox 15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27" name="TextBox 15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28" name="TextBox 15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29" name="TextBox 15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30" name="TextBox 15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31" name="TextBox 15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32" name="TextBox 15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33" name="TextBox 15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34" name="TextBox 15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35" name="TextBox 15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36" name="TextBox 15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37" name="TextBox 15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38" name="TextBox 15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39" name="TextBox 15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40" name="TextBox 15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41" name="TextBox 15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42" name="TextBox 15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43" name="TextBox 15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44" name="TextBox 15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45" name="TextBox 15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46" name="TextBox 15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47" name="TextBox 15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48" name="TextBox 15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49" name="TextBox 15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50" name="TextBox 15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51" name="TextBox 15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52" name="TextBox 15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53" name="TextBox 15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54" name="TextBox 15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55" name="TextBox 15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56" name="TextBox 15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57" name="TextBox 15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58" name="TextBox 15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59" name="TextBox 15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60" name="TextBox 15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61" name="TextBox 15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62" name="TextBox 15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63" name="TextBox 15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64" name="TextBox 15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65" name="TextBox 15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66" name="TextBox 15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67" name="TextBox 15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68" name="TextBox 15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69" name="TextBox 15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70" name="TextBox 15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71" name="TextBox 15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72" name="TextBox 15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73" name="TextBox 15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74" name="TextBox 15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75" name="TextBox 15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76" name="TextBox 15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77" name="TextBox 15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278" name="TextBox 15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79" name="TextBox 15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80" name="TextBox 15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81" name="TextBox 15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82" name="TextBox 15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83" name="TextBox 15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84" name="TextBox 15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85" name="TextBox 15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86" name="TextBox 15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87" name="TextBox 15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88" name="TextBox 15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89" name="TextBox 15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90" name="TextBox 15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91" name="TextBox 15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92" name="TextBox 15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93" name="TextBox 15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94" name="TextBox 15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95" name="TextBox 15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96" name="TextBox 15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97" name="TextBox 15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98" name="TextBox 15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299" name="TextBox 15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00" name="TextBox 15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01" name="TextBox 15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02" name="TextBox 15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303" name="TextBox 15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304" name="TextBox 15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305" name="TextBox 15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306" name="TextBox 15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307" name="TextBox 15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308" name="TextBox 15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09" name="TextBox 15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10" name="TextBox 15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11" name="TextBox 15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12" name="TextBox 15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13" name="TextBox 15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14" name="TextBox 15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15" name="TextBox 15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16" name="TextBox 15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17" name="TextBox 15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18" name="TextBox 15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19" name="TextBox 15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20" name="TextBox 15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21" name="TextBox 15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22" name="TextBox 15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23" name="TextBox 15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24" name="TextBox 15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25" name="TextBox 15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26" name="TextBox 15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27" name="TextBox 15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28" name="TextBox 15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29" name="TextBox 15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30" name="TextBox 15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31" name="TextBox 15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32" name="TextBox 15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33" name="TextBox 15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34" name="TextBox 15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35" name="TextBox 15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36" name="TextBox 15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37" name="TextBox 15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38" name="TextBox 15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39" name="TextBox 15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40" name="TextBox 15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41" name="TextBox 15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42" name="TextBox 15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43" name="TextBox 15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44" name="TextBox 15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345" name="TextBox 15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346" name="TextBox 15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347" name="TextBox 15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348" name="TextBox 15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349" name="TextBox 15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350" name="TextBox 15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51" name="TextBox 15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52" name="TextBox 15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53" name="TextBox 15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54" name="TextBox 15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55" name="TextBox 15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56" name="TextBox 15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357" name="TextBox 15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358" name="TextBox 15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359" name="TextBox 15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360" name="TextBox 15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361" name="TextBox 15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362" name="TextBox 15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363" name="TextBox 15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364" name="TextBox 15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365" name="TextBox 15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366" name="TextBox 15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367" name="TextBox 15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368" name="TextBox 15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69" name="TextBox 15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70" name="TextBox 15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71" name="TextBox 15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72" name="TextBox 15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73" name="TextBox 15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74" name="TextBox 15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75" name="TextBox 15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76" name="TextBox 15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77" name="TextBox 15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78" name="TextBox 15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79" name="TextBox 15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80" name="TextBox 15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381" name="TextBox 15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382" name="TextBox 15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383" name="TextBox 15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384" name="TextBox 15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385" name="TextBox 15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386" name="TextBox 15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87" name="TextBox 15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88" name="TextBox 15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89" name="TextBox 15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90" name="TextBox 15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91" name="TextBox 15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92" name="TextBox 15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93" name="TextBox 15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94" name="TextBox 15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95" name="TextBox 15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96" name="TextBox 15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97" name="TextBox 15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98" name="TextBox 15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399" name="TextBox 15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00" name="TextBox 15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01" name="TextBox 15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02" name="TextBox 15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03" name="TextBox 15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04" name="TextBox 15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405" name="TextBox 15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406" name="TextBox 15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407" name="TextBox 15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408" name="TextBox 15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409" name="TextBox 15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410" name="TextBox 15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11" name="TextBox 15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12" name="TextBox 15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13" name="TextBox 15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14" name="TextBox 15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15" name="TextBox 15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16" name="TextBox 15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17" name="TextBox 15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18" name="TextBox 15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19" name="TextBox 15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20" name="TextBox 15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21" name="TextBox 15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22" name="TextBox 15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23" name="TextBox 15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24" name="TextBox 15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25" name="TextBox 15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26" name="TextBox 15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27" name="TextBox 15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28" name="TextBox 15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29" name="TextBox 15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30" name="TextBox 15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31" name="TextBox 15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32" name="TextBox 15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33" name="TextBox 15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34" name="TextBox 15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435" name="TextBox 15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436" name="TextBox 15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437" name="TextBox 15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438" name="TextBox 15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439" name="TextBox 15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440" name="TextBox 15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41" name="TextBox 15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42" name="TextBox 15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43" name="TextBox 15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44" name="TextBox 15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45" name="TextBox 15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46" name="TextBox 15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47" name="TextBox 15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48" name="TextBox 15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49" name="TextBox 15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50" name="TextBox 15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51" name="TextBox 15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52" name="TextBox 15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53" name="TextBox 15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54" name="TextBox 15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55" name="TextBox 15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56" name="TextBox 15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57" name="TextBox 15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58" name="TextBox 15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59" name="TextBox 15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60" name="TextBox 15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61" name="TextBox 15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62" name="TextBox 15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63" name="TextBox 15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64" name="TextBox 15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65" name="TextBox 15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66" name="TextBox 15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67" name="TextBox 15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68" name="TextBox 15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69" name="TextBox 15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70" name="TextBox 15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471" name="TextBox 15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472" name="TextBox 15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473" name="TextBox 15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474" name="TextBox 15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475" name="TextBox 15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476" name="TextBox 15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77" name="TextBox 15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78" name="TextBox 15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79" name="TextBox 15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80" name="TextBox 15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81" name="TextBox 15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82" name="TextBox 15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83" name="TextBox 15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84" name="TextBox 15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85" name="TextBox 15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86" name="TextBox 15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87" name="TextBox 15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88" name="TextBox 15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89" name="TextBox 15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90" name="TextBox 15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91" name="TextBox 15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92" name="TextBox 15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93" name="TextBox 15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94" name="TextBox 15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95" name="TextBox 15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96" name="TextBox 15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97" name="TextBox 15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98" name="TextBox 15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499" name="TextBox 15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00" name="TextBox 15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01" name="TextBox 15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02" name="TextBox 15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03" name="TextBox 15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04" name="TextBox 15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05" name="TextBox 15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06" name="TextBox 15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507" name="TextBox 15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508" name="TextBox 15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509" name="TextBox 15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510" name="TextBox 15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511" name="TextBox 15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512" name="TextBox 15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13" name="TextBox 15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14" name="TextBox 15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15" name="TextBox 15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16" name="TextBox 15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17" name="TextBox 15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18" name="TextBox 15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19" name="TextBox 15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20" name="TextBox 15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21" name="TextBox 15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22" name="TextBox 15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23" name="TextBox 15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24" name="TextBox 15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25" name="TextBox 15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26" name="TextBox 15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27" name="TextBox 15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28" name="TextBox 15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29" name="TextBox 15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30" name="TextBox 15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31" name="TextBox 15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32" name="TextBox 15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33" name="TextBox 15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34" name="TextBox 15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35" name="TextBox 15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36" name="TextBox 15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37" name="TextBox 15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38" name="TextBox 15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39" name="TextBox 15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40" name="TextBox 15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41" name="TextBox 15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42" name="TextBox 15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43" name="TextBox 15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44" name="TextBox 15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45" name="TextBox 15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46" name="TextBox 15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47" name="TextBox 15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48" name="TextBox 15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49" name="TextBox 15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50" name="TextBox 15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51" name="TextBox 15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52" name="TextBox 15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53" name="TextBox 15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554" name="TextBox 15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555" name="TextBox 15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556" name="TextBox 15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557" name="TextBox 15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558" name="TextBox 15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559" name="TextBox 15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5560" name="TextBox 15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561" name="TextBox 15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562" name="TextBox 15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563" name="TextBox 15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564" name="TextBox 15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565" name="TextBox 15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566" name="TextBox 15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567" name="TextBox 15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568" name="TextBox 15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569" name="TextBox 15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570" name="TextBox 15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571" name="TextBox 15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572" name="TextBox 15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573" name="TextBox 15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574" name="TextBox 15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575" name="TextBox 15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576" name="TextBox 15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577" name="TextBox 15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578" name="TextBox 15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579" name="TextBox 15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580" name="TextBox 15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581" name="TextBox 15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582" name="TextBox 15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583" name="TextBox 15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584" name="TextBox 15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585" name="TextBox 15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586" name="TextBox 15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587" name="TextBox 15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588" name="TextBox 15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589" name="TextBox 15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590" name="TextBox 15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591" name="TextBox 15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592" name="TextBox 15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593" name="TextBox 15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594" name="TextBox 15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595" name="TextBox 15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596" name="TextBox 15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597" name="TextBox 15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598" name="TextBox 15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599" name="TextBox 15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00" name="TextBox 15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01" name="TextBox 15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02" name="TextBox 15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03" name="TextBox 15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04" name="TextBox 15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05" name="TextBox 15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06" name="TextBox 15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07" name="TextBox 15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08" name="TextBox 15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09" name="TextBox 15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10" name="TextBox 15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11" name="TextBox 15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12" name="TextBox 15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13" name="TextBox 15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14" name="TextBox 15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615" name="TextBox 15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616" name="TextBox 15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617" name="TextBox 15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618" name="TextBox 15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619" name="TextBox 15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620" name="TextBox 15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21" name="TextBox 15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22" name="TextBox 15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23" name="TextBox 15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24" name="TextBox 15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25" name="TextBox 15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26" name="TextBox 15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27" name="TextBox 15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28" name="TextBox 15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29" name="TextBox 15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30" name="TextBox 15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31" name="TextBox 15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32" name="TextBox 15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33" name="TextBox 15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34" name="TextBox 15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35" name="TextBox 15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36" name="TextBox 15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37" name="TextBox 15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38" name="TextBox 15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39" name="TextBox 15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40" name="TextBox 15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41" name="TextBox 15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42" name="TextBox 15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43" name="TextBox 15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44" name="TextBox 15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645" name="TextBox 15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646" name="TextBox 15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647" name="TextBox 15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648" name="TextBox 15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649" name="TextBox 15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650" name="TextBox 15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51" name="TextBox 15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52" name="TextBox 15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53" name="TextBox 15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54" name="TextBox 15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55" name="TextBox 15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56" name="TextBox 15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57" name="TextBox 15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58" name="TextBox 15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59" name="TextBox 15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60" name="TextBox 15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61" name="TextBox 15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62" name="TextBox 15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63" name="TextBox 15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64" name="TextBox 15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65" name="TextBox 15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66" name="TextBox 15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67" name="TextBox 15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68" name="TextBox 15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69" name="TextBox 15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70" name="TextBox 15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71" name="TextBox 15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72" name="TextBox 15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73" name="TextBox 15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74" name="TextBox 15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75" name="TextBox 15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76" name="TextBox 15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77" name="TextBox 15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78" name="TextBox 15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79" name="TextBox 15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80" name="TextBox 15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81" name="TextBox 15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82" name="TextBox 15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83" name="TextBox 15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84" name="TextBox 15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85" name="TextBox 15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686" name="TextBox 15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87" name="TextBox 15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88" name="TextBox 15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89" name="TextBox 15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90" name="TextBox 15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91" name="TextBox 15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92" name="TextBox 15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93" name="TextBox 15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94" name="TextBox 15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95" name="TextBox 15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96" name="TextBox 15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97" name="TextBox 15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98" name="TextBox 15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699" name="TextBox 15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00" name="TextBox 15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01" name="TextBox 15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02" name="TextBox 15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03" name="TextBox 15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04" name="TextBox 15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705" name="TextBox 15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706" name="TextBox 15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707" name="TextBox 15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708" name="TextBox 15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709" name="TextBox 15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710" name="TextBox 15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11" name="TextBox 15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12" name="TextBox 15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13" name="TextBox 15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14" name="TextBox 15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15" name="TextBox 15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16" name="TextBox 15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17" name="TextBox 15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18" name="TextBox 15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19" name="TextBox 15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20" name="TextBox 15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21" name="TextBox 15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22" name="TextBox 15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23" name="TextBox 15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24" name="TextBox 15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25" name="TextBox 15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26" name="TextBox 15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27" name="TextBox 15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28" name="TextBox 15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29" name="TextBox 15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30" name="TextBox 15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31" name="TextBox 15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32" name="TextBox 15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33" name="TextBox 15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34" name="TextBox 15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735" name="TextBox 15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736" name="TextBox 15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737" name="TextBox 15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738" name="TextBox 15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739" name="TextBox 15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740" name="TextBox 15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41" name="TextBox 15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42" name="TextBox 15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43" name="TextBox 15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44" name="TextBox 15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45" name="TextBox 15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46" name="TextBox 15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47" name="TextBox 15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48" name="TextBox 15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49" name="TextBox 15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50" name="TextBox 15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51" name="TextBox 15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52" name="TextBox 15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53" name="TextBox 15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54" name="TextBox 15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55" name="TextBox 15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56" name="TextBox 15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57" name="TextBox 15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58" name="TextBox 15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59" name="TextBox 15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60" name="TextBox 15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61" name="TextBox 15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62" name="TextBox 15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63" name="TextBox 15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64" name="TextBox 15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65" name="TextBox 15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66" name="TextBox 15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67" name="TextBox 15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68" name="TextBox 15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69" name="TextBox 15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70" name="TextBox 15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71" name="TextBox 15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72" name="TextBox 15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73" name="TextBox 15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74" name="TextBox 15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75" name="TextBox 15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76" name="TextBox 15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777" name="TextBox 15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778" name="TextBox 15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779" name="TextBox 15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780" name="TextBox 15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781" name="TextBox 15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782" name="TextBox 15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83" name="TextBox 15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84" name="TextBox 15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85" name="TextBox 15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86" name="TextBox 15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87" name="TextBox 15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788" name="TextBox 15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789" name="TextBox 15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790" name="TextBox 15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791" name="TextBox 15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792" name="TextBox 15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793" name="TextBox 15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794" name="TextBox 15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795" name="TextBox 15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796" name="TextBox 15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797" name="TextBox 15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798" name="TextBox 15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799" name="TextBox 15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800" name="TextBox 15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01" name="TextBox 15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02" name="TextBox 15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03" name="TextBox 15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04" name="TextBox 15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05" name="TextBox 15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06" name="TextBox 15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07" name="TextBox 15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08" name="TextBox 15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09" name="TextBox 15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10" name="TextBox 15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11" name="TextBox 15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12" name="TextBox 15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813" name="TextBox 15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814" name="TextBox 15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815" name="TextBox 15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816" name="TextBox 15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817" name="TextBox 15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818" name="TextBox 15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19" name="TextBox 15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20" name="TextBox 15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21" name="TextBox 15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22" name="TextBox 15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23" name="TextBox 15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24" name="TextBox 15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25" name="TextBox 15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26" name="TextBox 15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27" name="TextBox 15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28" name="TextBox 15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29" name="TextBox 15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30" name="TextBox 15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31" name="TextBox 15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32" name="TextBox 15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33" name="TextBox 15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34" name="TextBox 15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35" name="TextBox 15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36" name="TextBox 15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837" name="TextBox 15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838" name="TextBox 15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839" name="TextBox 15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840" name="TextBox 15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841" name="TextBox 15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842" name="TextBox 15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43" name="TextBox 15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44" name="TextBox 15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45" name="TextBox 15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46" name="TextBox 15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47" name="TextBox 15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48" name="TextBox 15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49" name="TextBox 15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50" name="TextBox 15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51" name="TextBox 15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52" name="TextBox 15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53" name="TextBox 15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54" name="TextBox 15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55" name="TextBox 15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56" name="TextBox 15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57" name="TextBox 15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58" name="TextBox 15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59" name="TextBox 15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60" name="TextBox 15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61" name="TextBox 15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62" name="TextBox 15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63" name="TextBox 15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64" name="TextBox 15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65" name="TextBox 15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66" name="TextBox 15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867" name="TextBox 15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868" name="TextBox 15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869" name="TextBox 15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870" name="TextBox 15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871" name="TextBox 15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872" name="TextBox 15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73" name="TextBox 15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74" name="TextBox 15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75" name="TextBox 15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76" name="TextBox 15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77" name="TextBox 15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78" name="TextBox 15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79" name="TextBox 15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80" name="TextBox 15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81" name="TextBox 15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82" name="TextBox 15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83" name="TextBox 15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84" name="TextBox 15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85" name="TextBox 15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86" name="TextBox 15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87" name="TextBox 15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88" name="TextBox 15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89" name="TextBox 15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90" name="TextBox 15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91" name="TextBox 15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92" name="TextBox 15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93" name="TextBox 15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94" name="TextBox 15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95" name="TextBox 15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96" name="TextBox 15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97" name="TextBox 15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98" name="TextBox 15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899" name="TextBox 15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00" name="TextBox 15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01" name="TextBox 15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02" name="TextBox 15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903" name="TextBox 15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904" name="TextBox 15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905" name="TextBox 15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906" name="TextBox 15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907" name="TextBox 15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908" name="TextBox 15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09" name="TextBox 15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10" name="TextBox 15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11" name="TextBox 15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12" name="TextBox 15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13" name="TextBox 15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14" name="TextBox 15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15" name="TextBox 15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16" name="TextBox 15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17" name="TextBox 15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18" name="TextBox 15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19" name="TextBox 15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20" name="TextBox 15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21" name="TextBox 15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22" name="TextBox 15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23" name="TextBox 15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24" name="TextBox 15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25" name="TextBox 15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26" name="TextBox 15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27" name="TextBox 15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28" name="TextBox 15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29" name="TextBox 15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30" name="TextBox 15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31" name="TextBox 15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32" name="TextBox 15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33" name="TextBox 15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34" name="TextBox 15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35" name="TextBox 15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36" name="TextBox 15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37" name="TextBox 15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38" name="TextBox 15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39" name="TextBox 15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40" name="TextBox 15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41" name="TextBox 15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42" name="TextBox 15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43" name="TextBox 15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44" name="TextBox 15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45" name="TextBox 15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46" name="TextBox 15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47" name="TextBox 15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48" name="TextBox 15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49" name="TextBox 15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50" name="TextBox 15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951" name="TextBox 15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952" name="TextBox 15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953" name="TextBox 15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954" name="TextBox 15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955" name="TextBox 15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5956" name="TextBox 15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57" name="TextBox 15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58" name="TextBox 15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59" name="TextBox 15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60" name="TextBox 15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61" name="TextBox 15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62" name="TextBox 15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963" name="TextBox 15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964" name="TextBox 15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965" name="TextBox 15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966" name="TextBox 15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967" name="TextBox 15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968" name="TextBox 15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969" name="TextBox 15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970" name="TextBox 15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971" name="TextBox 15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972" name="TextBox 15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973" name="TextBox 15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974" name="TextBox 15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75" name="TextBox 15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76" name="TextBox 15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77" name="TextBox 15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78" name="TextBox 15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79" name="TextBox 15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80" name="TextBox 15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81" name="TextBox 15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82" name="TextBox 15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83" name="TextBox 15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84" name="TextBox 15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85" name="TextBox 15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86" name="TextBox 15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987" name="TextBox 15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988" name="TextBox 15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989" name="TextBox 15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990" name="TextBox 15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991" name="TextBox 15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5992" name="TextBox 15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93" name="TextBox 15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94" name="TextBox 15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95" name="TextBox 15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96" name="TextBox 15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97" name="TextBox 15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98" name="TextBox 15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5999" name="TextBox 15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00" name="TextBox 15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01" name="TextBox 16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02" name="TextBox 16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03" name="TextBox 16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04" name="TextBox 16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05" name="TextBox 16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06" name="TextBox 16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07" name="TextBox 16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08" name="TextBox 16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09" name="TextBox 16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10" name="TextBox 16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011" name="TextBox 16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012" name="TextBox 16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013" name="TextBox 16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014" name="TextBox 16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015" name="TextBox 16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016" name="TextBox 16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17" name="TextBox 16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18" name="TextBox 16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19" name="TextBox 16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20" name="TextBox 16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21" name="TextBox 16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22" name="TextBox 16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23" name="TextBox 16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24" name="TextBox 16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25" name="TextBox 16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26" name="TextBox 16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27" name="TextBox 16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28" name="TextBox 16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29" name="TextBox 16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30" name="TextBox 16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31" name="TextBox 16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32" name="TextBox 16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33" name="TextBox 16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34" name="TextBox 16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35" name="TextBox 16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36" name="TextBox 16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37" name="TextBox 16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38" name="TextBox 16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39" name="TextBox 16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40" name="TextBox 16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041" name="TextBox 16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042" name="TextBox 16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043" name="TextBox 16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044" name="TextBox 16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045" name="TextBox 16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046" name="TextBox 16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47" name="TextBox 16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48" name="TextBox 16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49" name="TextBox 16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50" name="TextBox 16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51" name="TextBox 16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52" name="TextBox 16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53" name="TextBox 16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54" name="TextBox 16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55" name="TextBox 16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56" name="TextBox 16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57" name="TextBox 16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58" name="TextBox 16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59" name="TextBox 16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60" name="TextBox 16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61" name="TextBox 16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62" name="TextBox 16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63" name="TextBox 16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64" name="TextBox 16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65" name="TextBox 16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66" name="TextBox 16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67" name="TextBox 16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68" name="TextBox 16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69" name="TextBox 16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70" name="TextBox 16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71" name="TextBox 16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72" name="TextBox 16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73" name="TextBox 16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74" name="TextBox 16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75" name="TextBox 16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76" name="TextBox 16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077" name="TextBox 16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078" name="TextBox 16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079" name="TextBox 16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080" name="TextBox 16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081" name="TextBox 16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082" name="TextBox 16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83" name="TextBox 16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84" name="TextBox 16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85" name="TextBox 16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86" name="TextBox 16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87" name="TextBox 16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88" name="TextBox 16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89" name="TextBox 16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90" name="TextBox 16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91" name="TextBox 16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92" name="TextBox 16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93" name="TextBox 16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94" name="TextBox 16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95" name="TextBox 16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96" name="TextBox 16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97" name="TextBox 16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98" name="TextBox 16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099" name="TextBox 16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00" name="TextBox 16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01" name="TextBox 16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02" name="TextBox 16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03" name="TextBox 16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04" name="TextBox 16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05" name="TextBox 16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06" name="TextBox 16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07" name="TextBox 16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08" name="TextBox 16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09" name="TextBox 16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10" name="TextBox 16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11" name="TextBox 16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12" name="TextBox 16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13" name="TextBox 16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14" name="TextBox 16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15" name="TextBox 16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16" name="TextBox 16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17" name="TextBox 16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18" name="TextBox 16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119" name="TextBox 16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120" name="TextBox 16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121" name="TextBox 16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122" name="TextBox 16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123" name="TextBox 16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124" name="TextBox 16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25" name="TextBox 16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26" name="TextBox 16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27" name="TextBox 16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28" name="TextBox 16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29" name="TextBox 16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30" name="TextBox 16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31" name="TextBox 16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32" name="TextBox 16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33" name="TextBox 16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34" name="TextBox 16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35" name="TextBox 16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36" name="TextBox 16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37" name="TextBox 16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38" name="TextBox 16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39" name="TextBox 16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40" name="TextBox 16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41" name="TextBox 16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42" name="TextBox 16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43" name="TextBox 16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44" name="TextBox 16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45" name="TextBox 16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46" name="TextBox 16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47" name="TextBox 16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48" name="TextBox 16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49" name="TextBox 16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50" name="TextBox 16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51" name="TextBox 16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52" name="TextBox 16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53" name="TextBox 16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54" name="TextBox 16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55" name="TextBox 16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56" name="TextBox 16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57" name="TextBox 16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58" name="TextBox 16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59" name="TextBox 16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60" name="TextBox 16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161" name="TextBox 16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162" name="TextBox 16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163" name="TextBox 16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164" name="TextBox 16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165" name="TextBox 16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166" name="TextBox 16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67" name="TextBox 16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68" name="TextBox 16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69" name="TextBox 16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70" name="TextBox 16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71" name="TextBox 16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72" name="TextBox 16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73" name="TextBox 16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74" name="TextBox 16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75" name="TextBox 16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76" name="TextBox 16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77" name="TextBox 16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78" name="TextBox 16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79" name="TextBox 16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80" name="TextBox 16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81" name="TextBox 16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82" name="TextBox 16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83" name="TextBox 16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84" name="TextBox 16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85" name="TextBox 16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86" name="TextBox 16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87" name="TextBox 16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88" name="TextBox 16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89" name="TextBox 16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90" name="TextBox 16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91" name="TextBox 16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92" name="TextBox 16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93" name="TextBox 16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94" name="TextBox 16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95" name="TextBox 16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96" name="TextBox 16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97" name="TextBox 16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98" name="TextBox 16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199" name="TextBox 16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200" name="TextBox 16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201" name="TextBox 16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202" name="TextBox 16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203" name="TextBox 16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204" name="TextBox 16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205" name="TextBox 16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206" name="TextBox 16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207" name="TextBox 16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208" name="TextBox 16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209" name="TextBox 16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210" name="TextBox 16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211" name="TextBox 16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212" name="TextBox 16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213" name="TextBox 16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4731" cy="264560"/>
    <xdr:sp macro="" textlink="">
      <xdr:nvSpPr>
        <xdr:cNvPr id="16214" name="TextBox 16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15" name="TextBox 16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16" name="TextBox 16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17" name="TextBox 16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18" name="TextBox 16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19" name="TextBox 16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20" name="TextBox 16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221" name="TextBox 16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222" name="TextBox 16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223" name="TextBox 16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224" name="TextBox 16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225" name="TextBox 16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226" name="TextBox 16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227" name="TextBox 16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228" name="TextBox 16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229" name="TextBox 16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230" name="TextBox 16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231" name="TextBox 16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232" name="TextBox 16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33" name="TextBox 16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34" name="TextBox 16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35" name="TextBox 16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36" name="TextBox 16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37" name="TextBox 16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38" name="TextBox 16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39" name="TextBox 16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40" name="TextBox 16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41" name="TextBox 16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42" name="TextBox 16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43" name="TextBox 16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44" name="TextBox 16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245" name="TextBox 16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246" name="TextBox 16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247" name="TextBox 16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248" name="TextBox 16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249" name="TextBox 16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250" name="TextBox 16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51" name="TextBox 16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52" name="TextBox 16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53" name="TextBox 16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54" name="TextBox 16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55" name="TextBox 16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56" name="TextBox 16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57" name="TextBox 16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58" name="TextBox 16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59" name="TextBox 16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60" name="TextBox 16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61" name="TextBox 16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62" name="TextBox 16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63" name="TextBox 16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64" name="TextBox 16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65" name="TextBox 16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66" name="TextBox 16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67" name="TextBox 16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68" name="TextBox 16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269" name="TextBox 16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270" name="TextBox 16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271" name="TextBox 16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272" name="TextBox 16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273" name="TextBox 16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274" name="TextBox 16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75" name="TextBox 16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76" name="TextBox 16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77" name="TextBox 16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78" name="TextBox 16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79" name="TextBox 16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80" name="TextBox 16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81" name="TextBox 16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82" name="TextBox 16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83" name="TextBox 16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84" name="TextBox 16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85" name="TextBox 16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86" name="TextBox 16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87" name="TextBox 16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88" name="TextBox 16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89" name="TextBox 16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90" name="TextBox 16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91" name="TextBox 16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92" name="TextBox 16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93" name="TextBox 16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94" name="TextBox 16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95" name="TextBox 16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96" name="TextBox 16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97" name="TextBox 16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298" name="TextBox 16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299" name="TextBox 16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300" name="TextBox 16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301" name="TextBox 16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302" name="TextBox 16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303" name="TextBox 16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304" name="TextBox 16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05" name="TextBox 16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06" name="TextBox 16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07" name="TextBox 16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08" name="TextBox 16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09" name="TextBox 16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10" name="TextBox 16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311" name="TextBox 16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312" name="TextBox 16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313" name="TextBox 16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314" name="TextBox 16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315" name="TextBox 16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316" name="TextBox 16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317" name="TextBox 16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318" name="TextBox 16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319" name="TextBox 16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320" name="TextBox 16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321" name="TextBox 16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322" name="TextBox 16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23" name="TextBox 16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24" name="TextBox 16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25" name="TextBox 16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26" name="TextBox 16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27" name="TextBox 16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28" name="TextBox 16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29" name="TextBox 16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30" name="TextBox 16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31" name="TextBox 16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32" name="TextBox 16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33" name="TextBox 16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34" name="TextBox 16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335" name="TextBox 16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336" name="TextBox 16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337" name="TextBox 16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338" name="TextBox 16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339" name="TextBox 16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340" name="TextBox 16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41" name="TextBox 16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42" name="TextBox 16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43" name="TextBox 16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44" name="TextBox 16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45" name="TextBox 16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46" name="TextBox 16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47" name="TextBox 16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48" name="TextBox 16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49" name="TextBox 16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50" name="TextBox 16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51" name="TextBox 16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52" name="TextBox 16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53" name="TextBox 16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54" name="TextBox 16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55" name="TextBox 16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56" name="TextBox 16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57" name="TextBox 16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58" name="TextBox 16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359" name="TextBox 16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360" name="TextBox 16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361" name="TextBox 16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362" name="TextBox 16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363" name="TextBox 16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364" name="TextBox 16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65" name="TextBox 16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66" name="TextBox 16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67" name="TextBox 16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68" name="TextBox 16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69" name="TextBox 16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70" name="TextBox 16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71" name="TextBox 16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72" name="TextBox 16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73" name="TextBox 16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74" name="TextBox 16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75" name="TextBox 16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76" name="TextBox 16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77" name="TextBox 16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78" name="TextBox 16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79" name="TextBox 16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80" name="TextBox 16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81" name="TextBox 16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82" name="TextBox 16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83" name="TextBox 16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84" name="TextBox 16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85" name="TextBox 16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86" name="TextBox 16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87" name="TextBox 16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388" name="TextBox 16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389" name="TextBox 16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390" name="TextBox 16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391" name="TextBox 16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392" name="TextBox 16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393" name="TextBox 16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394" name="TextBox 16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395" name="TextBox 16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396" name="TextBox 16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397" name="TextBox 16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398" name="TextBox 16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399" name="TextBox 16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00" name="TextBox 16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401" name="TextBox 16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402" name="TextBox 16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403" name="TextBox 16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404" name="TextBox 16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405" name="TextBox 16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406" name="TextBox 16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407" name="TextBox 16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408" name="TextBox 16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409" name="TextBox 16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410" name="TextBox 16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411" name="TextBox 16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412" name="TextBox 16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13" name="TextBox 16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14" name="TextBox 16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15" name="TextBox 16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16" name="TextBox 16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17" name="TextBox 16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18" name="TextBox 16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19" name="TextBox 16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20" name="TextBox 16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21" name="TextBox 16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22" name="TextBox 16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23" name="TextBox 16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24" name="TextBox 16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425" name="TextBox 16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426" name="TextBox 16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427" name="TextBox 16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428" name="TextBox 16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429" name="TextBox 16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430" name="TextBox 16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31" name="TextBox 16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32" name="TextBox 16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33" name="TextBox 16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34" name="TextBox 16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35" name="TextBox 16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36" name="TextBox 16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37" name="TextBox 16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38" name="TextBox 16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39" name="TextBox 16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40" name="TextBox 16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41" name="TextBox 16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42" name="TextBox 16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43" name="TextBox 16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44" name="TextBox 16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45" name="TextBox 16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46" name="TextBox 16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47" name="TextBox 16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48" name="TextBox 16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449" name="TextBox 16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450" name="TextBox 16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451" name="TextBox 16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452" name="TextBox 16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453" name="TextBox 16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454" name="TextBox 16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55" name="TextBox 16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56" name="TextBox 16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57" name="TextBox 16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58" name="TextBox 16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59" name="TextBox 16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60" name="TextBox 16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61" name="TextBox 16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62" name="TextBox 16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63" name="TextBox 16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64" name="TextBox 16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65" name="TextBox 16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66" name="TextBox 16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67" name="TextBox 16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68" name="TextBox 16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69" name="TextBox 16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70" name="TextBox 16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71" name="TextBox 16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72" name="TextBox 16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73" name="TextBox 16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74" name="TextBox 16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75" name="TextBox 16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76" name="TextBox 16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77" name="TextBox 16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78" name="TextBox 16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479" name="TextBox 16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480" name="TextBox 16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481" name="TextBox 16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482" name="TextBox 16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483" name="TextBox 16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484" name="TextBox 16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85" name="TextBox 16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86" name="TextBox 16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87" name="TextBox 16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88" name="TextBox 16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89" name="TextBox 16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90" name="TextBox 16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91" name="TextBox 16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92" name="TextBox 16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93" name="TextBox 16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94" name="TextBox 16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95" name="TextBox 16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96" name="TextBox 16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97" name="TextBox 16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98" name="TextBox 16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499" name="TextBox 16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00" name="TextBox 16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01" name="TextBox 16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02" name="TextBox 16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03" name="TextBox 16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04" name="TextBox 16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05" name="TextBox 16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06" name="TextBox 16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07" name="TextBox 16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08" name="TextBox 16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09" name="TextBox 16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10" name="TextBox 16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11" name="TextBox 16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12" name="TextBox 16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13" name="TextBox 16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14" name="TextBox 16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15" name="TextBox 16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16" name="TextBox 16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17" name="TextBox 16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18" name="TextBox 16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19" name="TextBox 16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20" name="TextBox 16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21" name="TextBox 16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22" name="TextBox 16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23" name="TextBox 16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24" name="TextBox 16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25" name="TextBox 16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26" name="TextBox 16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27" name="TextBox 16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28" name="TextBox 16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29" name="TextBox 16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30" name="TextBox 16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31" name="TextBox 16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32" name="TextBox 16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33" name="TextBox 16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34" name="TextBox 16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35" name="TextBox 16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36" name="TextBox 16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37" name="TextBox 16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38" name="TextBox 16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39" name="TextBox 16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40" name="TextBox 16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41" name="TextBox 16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42" name="TextBox 16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43" name="TextBox 16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44" name="TextBox 16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45" name="TextBox 16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46" name="TextBox 16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47" name="TextBox 16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48" name="TextBox 16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49" name="TextBox 16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550" name="TextBox 16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551" name="TextBox 16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552" name="TextBox 16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553" name="TextBox 16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554" name="TextBox 16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555" name="TextBox 16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556" name="TextBox 16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57" name="TextBox 16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58" name="TextBox 16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59" name="TextBox 16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60" name="TextBox 16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61" name="TextBox 16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62" name="TextBox 16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563" name="TextBox 16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564" name="TextBox 16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565" name="TextBox 16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566" name="TextBox 16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567" name="TextBox 16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568" name="TextBox 16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569" name="TextBox 16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570" name="TextBox 16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571" name="TextBox 16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572" name="TextBox 16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573" name="TextBox 16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574" name="TextBox 16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75" name="TextBox 16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76" name="TextBox 16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77" name="TextBox 16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78" name="TextBox 16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79" name="TextBox 16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80" name="TextBox 16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81" name="TextBox 16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82" name="TextBox 16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83" name="TextBox 16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84" name="TextBox 16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85" name="TextBox 16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86" name="TextBox 16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587" name="TextBox 16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588" name="TextBox 16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589" name="TextBox 16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590" name="TextBox 16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591" name="TextBox 16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592" name="TextBox 16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93" name="TextBox 16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94" name="TextBox 16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95" name="TextBox 16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96" name="TextBox 16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97" name="TextBox 16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98" name="TextBox 16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599" name="TextBox 16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00" name="TextBox 16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01" name="TextBox 16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02" name="TextBox 16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03" name="TextBox 16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04" name="TextBox 16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05" name="TextBox 16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06" name="TextBox 16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07" name="TextBox 16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08" name="TextBox 16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09" name="TextBox 16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10" name="TextBox 16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611" name="TextBox 16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612" name="TextBox 16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613" name="TextBox 16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614" name="TextBox 16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615" name="TextBox 16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616" name="TextBox 16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17" name="TextBox 16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18" name="TextBox 16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19" name="TextBox 16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20" name="TextBox 16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21" name="TextBox 16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22" name="TextBox 16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23" name="TextBox 16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24" name="TextBox 16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25" name="TextBox 16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26" name="TextBox 16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27" name="TextBox 16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28" name="TextBox 16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29" name="TextBox 16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30" name="TextBox 16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31" name="TextBox 16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32" name="TextBox 16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33" name="TextBox 16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34" name="TextBox 16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35" name="TextBox 16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36" name="TextBox 16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37" name="TextBox 16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38" name="TextBox 16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39" name="TextBox 16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40" name="TextBox 16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641" name="TextBox 16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642" name="TextBox 16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643" name="TextBox 16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644" name="TextBox 16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645" name="TextBox 16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646" name="TextBox 16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47" name="TextBox 16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48" name="TextBox 16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49" name="TextBox 16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50" name="TextBox 16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51" name="TextBox 16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52" name="TextBox 16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53" name="TextBox 16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54" name="TextBox 16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55" name="TextBox 16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56" name="TextBox 16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57" name="TextBox 16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58" name="TextBox 16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59" name="TextBox 16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60" name="TextBox 16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61" name="TextBox 16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62" name="TextBox 16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63" name="TextBox 16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64" name="TextBox 16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65" name="TextBox 16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66" name="TextBox 16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67" name="TextBox 16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68" name="TextBox 16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69" name="TextBox 16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70" name="TextBox 16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71" name="TextBox 16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72" name="TextBox 16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73" name="TextBox 16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74" name="TextBox 16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75" name="TextBox 16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76" name="TextBox 16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77" name="TextBox 16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78" name="TextBox 16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79" name="TextBox 16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80" name="TextBox 16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81" name="TextBox 16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682" name="TextBox 16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83" name="TextBox 16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84" name="TextBox 16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85" name="TextBox 16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86" name="TextBox 16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87" name="TextBox 16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88" name="TextBox 16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89" name="TextBox 16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90" name="TextBox 16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91" name="TextBox 16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92" name="TextBox 16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93" name="TextBox 16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94" name="TextBox 16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95" name="TextBox 16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96" name="TextBox 16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97" name="TextBox 16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98" name="TextBox 16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699" name="TextBox 16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00" name="TextBox 16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701" name="TextBox 16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702" name="TextBox 16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703" name="TextBox 16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704" name="TextBox 16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705" name="TextBox 16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706" name="TextBox 16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07" name="TextBox 16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08" name="TextBox 16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09" name="TextBox 16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10" name="TextBox 16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11" name="TextBox 16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12" name="TextBox 16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13" name="TextBox 16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14" name="TextBox 16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15" name="TextBox 16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16" name="TextBox 16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17" name="TextBox 16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18" name="TextBox 16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19" name="TextBox 16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20" name="TextBox 16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21" name="TextBox 16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22" name="TextBox 16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23" name="TextBox 16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24" name="TextBox 16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25" name="TextBox 16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26" name="TextBox 16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27" name="TextBox 16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28" name="TextBox 16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29" name="TextBox 16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30" name="TextBox 16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731" name="TextBox 16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732" name="TextBox 16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733" name="TextBox 16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734" name="TextBox 16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735" name="TextBox 16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736" name="TextBox 16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37" name="TextBox 16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38" name="TextBox 16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39" name="TextBox 16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40" name="TextBox 16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41" name="TextBox 16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42" name="TextBox 16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43" name="TextBox 16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44" name="TextBox 16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45" name="TextBox 16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46" name="TextBox 16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47" name="TextBox 16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48" name="TextBox 16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49" name="TextBox 16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50" name="TextBox 16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51" name="TextBox 16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52" name="TextBox 16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53" name="TextBox 16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54" name="TextBox 16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55" name="TextBox 16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56" name="TextBox 16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57" name="TextBox 16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58" name="TextBox 16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59" name="TextBox 16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60" name="TextBox 16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61" name="TextBox 16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62" name="TextBox 16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63" name="TextBox 16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64" name="TextBox 16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65" name="TextBox 16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66" name="TextBox 16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67" name="TextBox 16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68" name="TextBox 16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69" name="TextBox 16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70" name="TextBox 16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71" name="TextBox 16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72" name="TextBox 16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773" name="TextBox 16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774" name="TextBox 16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775" name="TextBox 16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776" name="TextBox 16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777" name="TextBox 16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778" name="TextBox 16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79" name="TextBox 16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80" name="TextBox 16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81" name="TextBox 16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82" name="TextBox 16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83" name="TextBox 16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84" name="TextBox 16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785" name="TextBox 16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786" name="TextBox 16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787" name="TextBox 16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788" name="TextBox 16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789" name="TextBox 16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790" name="TextBox 16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791" name="TextBox 16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792" name="TextBox 16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793" name="TextBox 16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794" name="TextBox 16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795" name="TextBox 16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796" name="TextBox 16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97" name="TextBox 16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98" name="TextBox 16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799" name="TextBox 16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00" name="TextBox 16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01" name="TextBox 16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02" name="TextBox 16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03" name="TextBox 16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04" name="TextBox 16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05" name="TextBox 16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06" name="TextBox 16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07" name="TextBox 16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08" name="TextBox 16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809" name="TextBox 16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810" name="TextBox 16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811" name="TextBox 16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812" name="TextBox 16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813" name="TextBox 16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814" name="TextBox 16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15" name="TextBox 16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16" name="TextBox 16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17" name="TextBox 16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18" name="TextBox 16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19" name="TextBox 16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20" name="TextBox 16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21" name="TextBox 16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22" name="TextBox 16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23" name="TextBox 16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24" name="TextBox 16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25" name="TextBox 16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26" name="TextBox 16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27" name="TextBox 16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28" name="TextBox 16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29" name="TextBox 16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30" name="TextBox 16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31" name="TextBox 16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32" name="TextBox 16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833" name="TextBox 16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834" name="TextBox 16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835" name="TextBox 16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836" name="TextBox 16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837" name="TextBox 16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838" name="TextBox 16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39" name="TextBox 16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40" name="TextBox 16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41" name="TextBox 16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42" name="TextBox 16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43" name="TextBox 16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44" name="TextBox 16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45" name="TextBox 16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46" name="TextBox 16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47" name="TextBox 16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48" name="TextBox 16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49" name="TextBox 16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50" name="TextBox 16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51" name="TextBox 16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52" name="TextBox 16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53" name="TextBox 16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54" name="TextBox 16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55" name="TextBox 16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56" name="TextBox 16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57" name="TextBox 16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58" name="TextBox 16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59" name="TextBox 16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60" name="TextBox 16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61" name="TextBox 16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62" name="TextBox 16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863" name="TextBox 16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864" name="TextBox 16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865" name="TextBox 16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866" name="TextBox 16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867" name="TextBox 16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868" name="TextBox 16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69" name="TextBox 16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70" name="TextBox 16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71" name="TextBox 16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72" name="TextBox 16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73" name="TextBox 16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74" name="TextBox 16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75" name="TextBox 16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76" name="TextBox 16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77" name="TextBox 16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78" name="TextBox 16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79" name="TextBox 16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80" name="TextBox 16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81" name="TextBox 16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82" name="TextBox 16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83" name="TextBox 16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84" name="TextBox 16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85" name="TextBox 16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86" name="TextBox 16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87" name="TextBox 16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88" name="TextBox 16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89" name="TextBox 16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90" name="TextBox 16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91" name="TextBox 16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92" name="TextBox 16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93" name="TextBox 16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94" name="TextBox 16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95" name="TextBox 16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96" name="TextBox 16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97" name="TextBox 16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898" name="TextBox 16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899" name="TextBox 16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900" name="TextBox 16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901" name="TextBox 16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902" name="TextBox 16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903" name="TextBox 16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904" name="TextBox 16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05" name="TextBox 16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06" name="TextBox 16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07" name="TextBox 16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08" name="TextBox 16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09" name="TextBox 16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10" name="TextBox 16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11" name="TextBox 16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12" name="TextBox 16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13" name="TextBox 16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14" name="TextBox 16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15" name="TextBox 16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16" name="TextBox 16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17" name="TextBox 16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18" name="TextBox 16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19" name="TextBox 16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20" name="TextBox 16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21" name="TextBox 16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22" name="TextBox 16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23" name="TextBox 16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24" name="TextBox 16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25" name="TextBox 16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26" name="TextBox 16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27" name="TextBox 16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28" name="TextBox 16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29" name="TextBox 16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30" name="TextBox 16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31" name="TextBox 16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32" name="TextBox 16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33" name="TextBox 16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34" name="TextBox 16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935" name="TextBox 16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936" name="TextBox 16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937" name="TextBox 16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938" name="TextBox 16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939" name="TextBox 16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940" name="TextBox 16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41" name="TextBox 16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42" name="TextBox 16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43" name="TextBox 16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44" name="TextBox 16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45" name="TextBox 16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46" name="TextBox 16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47" name="TextBox 16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48" name="TextBox 16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49" name="TextBox 16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50" name="TextBox 16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51" name="TextBox 16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52" name="TextBox 16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53" name="TextBox 16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54" name="TextBox 16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55" name="TextBox 16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56" name="TextBox 16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57" name="TextBox 16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58" name="TextBox 16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59" name="TextBox 16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60" name="TextBox 16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61" name="TextBox 16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62" name="TextBox 16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63" name="TextBox 16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64" name="TextBox 16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65" name="TextBox 16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66" name="TextBox 16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67" name="TextBox 16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68" name="TextBox 16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69" name="TextBox 16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70" name="TextBox 16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71" name="TextBox 16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72" name="TextBox 16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73" name="TextBox 16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74" name="TextBox 16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75" name="TextBox 16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76" name="TextBox 16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77" name="TextBox 16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78" name="TextBox 16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79" name="TextBox 16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80" name="TextBox 16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81" name="TextBox 16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6982" name="TextBox 16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983" name="TextBox 16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984" name="TextBox 16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985" name="TextBox 16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986" name="TextBox 16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987" name="TextBox 16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6988" name="TextBox 16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989" name="TextBox 16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990" name="TextBox 16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991" name="TextBox 16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992" name="TextBox 16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993" name="TextBox 16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6994" name="TextBox 16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995" name="TextBox 16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996" name="TextBox 16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997" name="TextBox 16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998" name="TextBox 16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6999" name="TextBox 16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00" name="TextBox 16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01" name="TextBox 17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02" name="TextBox 17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03" name="TextBox 17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04" name="TextBox 17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05" name="TextBox 17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06" name="TextBox 17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07" name="TextBox 17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08" name="TextBox 17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09" name="TextBox 17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10" name="TextBox 17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11" name="TextBox 17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12" name="TextBox 17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13" name="TextBox 17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14" name="TextBox 17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15" name="TextBox 17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16" name="TextBox 17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17" name="TextBox 17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18" name="TextBox 17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19" name="TextBox 17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20" name="TextBox 17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21" name="TextBox 17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22" name="TextBox 17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23" name="TextBox 17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24" name="TextBox 17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25" name="TextBox 17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26" name="TextBox 17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27" name="TextBox 17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28" name="TextBox 17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29" name="TextBox 17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30" name="TextBox 17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31" name="TextBox 17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32" name="TextBox 17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33" name="TextBox 17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34" name="TextBox 17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35" name="TextBox 17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36" name="TextBox 17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37" name="TextBox 17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38" name="TextBox 17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39" name="TextBox 17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40" name="TextBox 17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41" name="TextBox 17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42" name="TextBox 17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43" name="TextBox 17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44" name="TextBox 17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45" name="TextBox 17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46" name="TextBox 17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47" name="TextBox 17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48" name="TextBox 17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49" name="TextBox 17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50" name="TextBox 17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51" name="TextBox 17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52" name="TextBox 17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53" name="TextBox 17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54" name="TextBox 17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55" name="TextBox 17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56" name="TextBox 17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57" name="TextBox 17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58" name="TextBox 17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59" name="TextBox 17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60" name="TextBox 17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61" name="TextBox 17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62" name="TextBox 17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63" name="TextBox 17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64" name="TextBox 17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65" name="TextBox 17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66" name="TextBox 17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67" name="TextBox 17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68" name="TextBox 17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69" name="TextBox 17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70" name="TextBox 17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71" name="TextBox 17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72" name="TextBox 17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73" name="TextBox 17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74" name="TextBox 17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75" name="TextBox 17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76" name="TextBox 17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77" name="TextBox 17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078" name="TextBox 17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079" name="TextBox 17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080" name="TextBox 17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081" name="TextBox 17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082" name="TextBox 17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083" name="TextBox 17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084" name="TextBox 17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85" name="TextBox 17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86" name="TextBox 17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87" name="TextBox 17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88" name="TextBox 17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89" name="TextBox 17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90" name="TextBox 17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91" name="TextBox 17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92" name="TextBox 17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93" name="TextBox 17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94" name="TextBox 17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95" name="TextBox 17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096" name="TextBox 17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097" name="TextBox 17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098" name="TextBox 17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099" name="TextBox 17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00" name="TextBox 17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01" name="TextBox 17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02" name="TextBox 17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03" name="TextBox 17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04" name="TextBox 17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05" name="TextBox 17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06" name="TextBox 17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07" name="TextBox 17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08" name="TextBox 17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109" name="TextBox 17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110" name="TextBox 17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111" name="TextBox 17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112" name="TextBox 17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113" name="TextBox 17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114" name="TextBox 17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15" name="TextBox 17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16" name="TextBox 17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17" name="TextBox 17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18" name="TextBox 17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19" name="TextBox 17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20" name="TextBox 17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21" name="TextBox 17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22" name="TextBox 17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23" name="TextBox 17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24" name="TextBox 17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25" name="TextBox 17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26" name="TextBox 17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27" name="TextBox 17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28" name="TextBox 17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29" name="TextBox 17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30" name="TextBox 17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31" name="TextBox 17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32" name="TextBox 17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133" name="TextBox 17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134" name="TextBox 17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135" name="TextBox 17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136" name="TextBox 17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137" name="TextBox 17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138" name="TextBox 17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39" name="TextBox 17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40" name="TextBox 17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41" name="TextBox 17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42" name="TextBox 17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43" name="TextBox 17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44" name="TextBox 17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45" name="TextBox 17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46" name="TextBox 17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47" name="TextBox 17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48" name="TextBox 17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49" name="TextBox 17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50" name="TextBox 17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51" name="TextBox 17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52" name="TextBox 17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53" name="TextBox 17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54" name="TextBox 17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55" name="TextBox 17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56" name="TextBox 17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57" name="TextBox 17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58" name="TextBox 17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59" name="TextBox 17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60" name="TextBox 17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61" name="TextBox 17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62" name="TextBox 17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163" name="TextBox 17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164" name="TextBox 17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165" name="TextBox 17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166" name="TextBox 17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167" name="TextBox 17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168" name="TextBox 17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69" name="TextBox 17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70" name="TextBox 17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71" name="TextBox 17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72" name="TextBox 17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73" name="TextBox 17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74" name="TextBox 17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75" name="TextBox 17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76" name="TextBox 17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77" name="TextBox 17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78" name="TextBox 17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79" name="TextBox 17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80" name="TextBox 17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81" name="TextBox 17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82" name="TextBox 17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83" name="TextBox 17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84" name="TextBox 17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85" name="TextBox 17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86" name="TextBox 17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87" name="TextBox 17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88" name="TextBox 17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89" name="TextBox 17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90" name="TextBox 17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91" name="TextBox 17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92" name="TextBox 17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93" name="TextBox 17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94" name="TextBox 17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95" name="TextBox 17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96" name="TextBox 17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97" name="TextBox 17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98" name="TextBox 17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199" name="TextBox 17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00" name="TextBox 17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01" name="TextBox 17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02" name="TextBox 17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03" name="TextBox 17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04" name="TextBox 17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205" name="TextBox 17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206" name="TextBox 17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207" name="TextBox 17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208" name="TextBox 17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209" name="TextBox 17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210" name="TextBox 17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11" name="TextBox 17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12" name="TextBox 17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13" name="TextBox 17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14" name="TextBox 17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15" name="TextBox 17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16" name="TextBox 17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217" name="TextBox 17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218" name="TextBox 17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219" name="TextBox 17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220" name="TextBox 17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221" name="TextBox 17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222" name="TextBox 17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223" name="TextBox 17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224" name="TextBox 17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225" name="TextBox 17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226" name="TextBox 17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227" name="TextBox 17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228" name="TextBox 17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29" name="TextBox 17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30" name="TextBox 17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31" name="TextBox 17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32" name="TextBox 17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33" name="TextBox 17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34" name="TextBox 17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35" name="TextBox 17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36" name="TextBox 17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37" name="TextBox 17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38" name="TextBox 17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39" name="TextBox 17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40" name="TextBox 17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241" name="TextBox 17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242" name="TextBox 17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243" name="TextBox 17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244" name="TextBox 17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245" name="TextBox 17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246" name="TextBox 17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47" name="TextBox 17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48" name="TextBox 17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49" name="TextBox 17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50" name="TextBox 17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51" name="TextBox 17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52" name="TextBox 17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53" name="TextBox 17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54" name="TextBox 17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55" name="TextBox 17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56" name="TextBox 17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57" name="TextBox 17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58" name="TextBox 17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59" name="TextBox 17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60" name="TextBox 17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61" name="TextBox 17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62" name="TextBox 17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63" name="TextBox 17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64" name="TextBox 17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265" name="TextBox 17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266" name="TextBox 17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267" name="TextBox 17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268" name="TextBox 17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269" name="TextBox 17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270" name="TextBox 17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71" name="TextBox 17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72" name="TextBox 17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73" name="TextBox 17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74" name="TextBox 17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75" name="TextBox 17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76" name="TextBox 17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77" name="TextBox 17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78" name="TextBox 17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79" name="TextBox 17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80" name="TextBox 17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81" name="TextBox 17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82" name="TextBox 17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83" name="TextBox 17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84" name="TextBox 17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85" name="TextBox 17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86" name="TextBox 17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87" name="TextBox 17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88" name="TextBox 17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89" name="TextBox 17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90" name="TextBox 17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91" name="TextBox 17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92" name="TextBox 17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93" name="TextBox 17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294" name="TextBox 17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295" name="TextBox 17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296" name="TextBox 17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297" name="TextBox 17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298" name="TextBox 17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299" name="TextBox 17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300" name="TextBox 17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01" name="TextBox 17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02" name="TextBox 17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03" name="TextBox 17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04" name="TextBox 17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05" name="TextBox 17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06" name="TextBox 17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07" name="TextBox 17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08" name="TextBox 17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09" name="TextBox 17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10" name="TextBox 17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11" name="TextBox 17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12" name="TextBox 17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13" name="TextBox 17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14" name="TextBox 17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15" name="TextBox 17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16" name="TextBox 17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17" name="TextBox 17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18" name="TextBox 17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19" name="TextBox 17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20" name="TextBox 17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21" name="TextBox 17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22" name="TextBox 17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23" name="TextBox 17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24" name="TextBox 17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25" name="TextBox 17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26" name="TextBox 17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27" name="TextBox 17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28" name="TextBox 17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29" name="TextBox 17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30" name="TextBox 17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331" name="TextBox 17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332" name="TextBox 17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333" name="TextBox 17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334" name="TextBox 17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335" name="TextBox 17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336" name="TextBox 17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37" name="TextBox 17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38" name="TextBox 17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39" name="TextBox 17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40" name="TextBox 17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41" name="TextBox 17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42" name="TextBox 17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43" name="TextBox 17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44" name="TextBox 17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45" name="TextBox 17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46" name="TextBox 17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47" name="TextBox 17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48" name="TextBox 17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49" name="TextBox 17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50" name="TextBox 17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51" name="TextBox 17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52" name="TextBox 17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53" name="TextBox 17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54" name="TextBox 17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55" name="TextBox 17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56" name="TextBox 17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57" name="TextBox 17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58" name="TextBox 17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59" name="TextBox 17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60" name="TextBox 17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61" name="TextBox 17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62" name="TextBox 17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63" name="TextBox 17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64" name="TextBox 17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65" name="TextBox 17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66" name="TextBox 17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67" name="TextBox 17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68" name="TextBox 17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69" name="TextBox 17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70" name="TextBox 17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71" name="TextBox 17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72" name="TextBox 17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73" name="TextBox 17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74" name="TextBox 17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75" name="TextBox 17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76" name="TextBox 17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77" name="TextBox 17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78" name="TextBox 17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379" name="TextBox 17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380" name="TextBox 17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381" name="TextBox 17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382" name="TextBox 17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383" name="TextBox 17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384" name="TextBox 17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85" name="TextBox 17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86" name="TextBox 17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87" name="TextBox 17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88" name="TextBox 17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89" name="TextBox 17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390" name="TextBox 17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391" name="TextBox 17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392" name="TextBox 17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393" name="TextBox 17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394" name="TextBox 17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395" name="TextBox 17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396" name="TextBox 17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397" name="TextBox 17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398" name="TextBox 17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399" name="TextBox 17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400" name="TextBox 17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401" name="TextBox 17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402" name="TextBox 17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03" name="TextBox 17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04" name="TextBox 17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05" name="TextBox 17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06" name="TextBox 17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07" name="TextBox 17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08" name="TextBox 17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09" name="TextBox 17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10" name="TextBox 17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11" name="TextBox 17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12" name="TextBox 17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13" name="TextBox 17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14" name="TextBox 17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415" name="TextBox 17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416" name="TextBox 17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417" name="TextBox 17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418" name="TextBox 17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419" name="TextBox 17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420" name="TextBox 17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21" name="TextBox 17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22" name="TextBox 17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23" name="TextBox 17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24" name="TextBox 17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25" name="TextBox 17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26" name="TextBox 17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27" name="TextBox 17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28" name="TextBox 17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29" name="TextBox 17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30" name="TextBox 17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31" name="TextBox 17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32" name="TextBox 17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33" name="TextBox 17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34" name="TextBox 17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35" name="TextBox 17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36" name="TextBox 17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37" name="TextBox 17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38" name="TextBox 17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439" name="TextBox 17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440" name="TextBox 17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441" name="TextBox 17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442" name="TextBox 17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443" name="TextBox 17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444" name="TextBox 17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45" name="TextBox 17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46" name="TextBox 17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47" name="TextBox 17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48" name="TextBox 17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49" name="TextBox 17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50" name="TextBox 17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51" name="TextBox 17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52" name="TextBox 17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53" name="TextBox 17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54" name="TextBox 17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55" name="TextBox 17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56" name="TextBox 17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57" name="TextBox 17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58" name="TextBox 17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59" name="TextBox 17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60" name="TextBox 17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61" name="TextBox 17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62" name="TextBox 17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63" name="TextBox 17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64" name="TextBox 17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65" name="TextBox 17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66" name="TextBox 17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67" name="TextBox 17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68" name="TextBox 17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469" name="TextBox 17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470" name="TextBox 17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471" name="TextBox 17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472" name="TextBox 17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473" name="TextBox 17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474" name="TextBox 17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75" name="TextBox 17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76" name="TextBox 17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77" name="TextBox 17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78" name="TextBox 17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79" name="TextBox 17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80" name="TextBox 17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81" name="TextBox 17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82" name="TextBox 17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83" name="TextBox 17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84" name="TextBox 17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85" name="TextBox 17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86" name="TextBox 17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87" name="TextBox 17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88" name="TextBox 17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89" name="TextBox 17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90" name="TextBox 17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91" name="TextBox 17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92" name="TextBox 17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93" name="TextBox 17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94" name="TextBox 17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95" name="TextBox 17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96" name="TextBox 17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97" name="TextBox 17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98" name="TextBox 17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499" name="TextBox 17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00" name="TextBox 17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01" name="TextBox 17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02" name="TextBox 17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03" name="TextBox 17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04" name="TextBox 17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505" name="TextBox 17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506" name="TextBox 17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507" name="TextBox 17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508" name="TextBox 17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509" name="TextBox 17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510" name="TextBox 17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11" name="TextBox 17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12" name="TextBox 17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13" name="TextBox 17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14" name="TextBox 17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15" name="TextBox 17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16" name="TextBox 17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17" name="TextBox 17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18" name="TextBox 17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19" name="TextBox 17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20" name="TextBox 17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21" name="TextBox 17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22" name="TextBox 17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23" name="TextBox 17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24" name="TextBox 17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25" name="TextBox 17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26" name="TextBox 17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27" name="TextBox 17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28" name="TextBox 17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29" name="TextBox 17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30" name="TextBox 17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31" name="TextBox 17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32" name="TextBox 17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33" name="TextBox 17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34" name="TextBox 17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35" name="TextBox 17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36" name="TextBox 17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37" name="TextBox 17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38" name="TextBox 17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39" name="TextBox 17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40" name="TextBox 17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41" name="TextBox 17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42" name="TextBox 17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43" name="TextBox 17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44" name="TextBox 17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45" name="TextBox 17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46" name="TextBox 17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547" name="TextBox 17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548" name="TextBox 17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549" name="TextBox 17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550" name="TextBox 17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551" name="TextBox 17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552" name="TextBox 17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53" name="TextBox 17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54" name="TextBox 17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55" name="TextBox 17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56" name="TextBox 17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57" name="TextBox 17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58" name="TextBox 17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59" name="TextBox 17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60" name="TextBox 17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61" name="TextBox 17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62" name="TextBox 17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63" name="TextBox 17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64" name="TextBox 17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65" name="TextBox 17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66" name="TextBox 17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67" name="TextBox 17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68" name="TextBox 17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69" name="TextBox 17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70" name="TextBox 17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71" name="TextBox 17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72" name="TextBox 17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73" name="TextBox 17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74" name="TextBox 17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75" name="TextBox 17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76" name="TextBox 17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77" name="TextBox 17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78" name="TextBox 17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79" name="TextBox 17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80" name="TextBox 17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81" name="TextBox 17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82" name="TextBox 17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83" name="TextBox 17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84" name="TextBox 17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85" name="TextBox 17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86" name="TextBox 17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87" name="TextBox 17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88" name="TextBox 17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589" name="TextBox 17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590" name="TextBox 17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591" name="TextBox 17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592" name="TextBox 17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593" name="TextBox 17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594" name="TextBox 17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95" name="TextBox 17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96" name="TextBox 17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97" name="TextBox 17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98" name="TextBox 17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599" name="TextBox 17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00" name="TextBox 17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01" name="TextBox 17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02" name="TextBox 17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03" name="TextBox 17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04" name="TextBox 17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05" name="TextBox 17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06" name="TextBox 17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07" name="TextBox 17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08" name="TextBox 17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09" name="TextBox 17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10" name="TextBox 17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11" name="TextBox 17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12" name="TextBox 17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13" name="TextBox 17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14" name="TextBox 17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15" name="TextBox 17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16" name="TextBox 17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17" name="TextBox 17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18" name="TextBox 17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19" name="TextBox 17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20" name="TextBox 17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21" name="TextBox 17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22" name="TextBox 17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23" name="TextBox 17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24" name="TextBox 17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25" name="TextBox 17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26" name="TextBox 17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27" name="TextBox 17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28" name="TextBox 17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29" name="TextBox 17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30" name="TextBox 17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31" name="TextBox 17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32" name="TextBox 17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33" name="TextBox 17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34" name="TextBox 17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35" name="TextBox 17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36" name="TextBox 17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37" name="TextBox 17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38" name="TextBox 17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39" name="TextBox 17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40" name="TextBox 17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41" name="TextBox 17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642" name="TextBox 17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7643" name="TextBox 17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7644" name="TextBox 17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7645" name="TextBox 17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7646" name="TextBox 17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7647" name="TextBox 17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17648" name="TextBox 17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49" name="TextBox 17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50" name="TextBox 17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51" name="TextBox 17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52" name="TextBox 17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53" name="TextBox 17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54" name="TextBox 17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655" name="TextBox 17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656" name="TextBox 17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657" name="TextBox 17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658" name="TextBox 17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659" name="TextBox 17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660" name="TextBox 17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661" name="TextBox 17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662" name="TextBox 17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663" name="TextBox 17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664" name="TextBox 17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665" name="TextBox 17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666" name="TextBox 17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67" name="TextBox 17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68" name="TextBox 17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69" name="TextBox 17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70" name="TextBox 17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71" name="TextBox 17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72" name="TextBox 17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73" name="TextBox 17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74" name="TextBox 17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75" name="TextBox 17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76" name="TextBox 17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77" name="TextBox 17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78" name="TextBox 17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679" name="TextBox 17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680" name="TextBox 17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681" name="TextBox 17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682" name="TextBox 17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683" name="TextBox 17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684" name="TextBox 17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85" name="TextBox 17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86" name="TextBox 17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87" name="TextBox 17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88" name="TextBox 17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89" name="TextBox 17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90" name="TextBox 17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91" name="TextBox 17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92" name="TextBox 17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93" name="TextBox 17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94" name="TextBox 17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95" name="TextBox 17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96" name="TextBox 17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97" name="TextBox 17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98" name="TextBox 17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699" name="TextBox 17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00" name="TextBox 17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01" name="TextBox 17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02" name="TextBox 17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703" name="TextBox 17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704" name="TextBox 17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705" name="TextBox 17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706" name="TextBox 17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707" name="TextBox 17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708" name="TextBox 17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09" name="TextBox 17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10" name="TextBox 17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11" name="TextBox 17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12" name="TextBox 17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13" name="TextBox 17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14" name="TextBox 17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15" name="TextBox 17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16" name="TextBox 17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17" name="TextBox 17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18" name="TextBox 17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19" name="TextBox 17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20" name="TextBox 17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21" name="TextBox 17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22" name="TextBox 17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23" name="TextBox 17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24" name="TextBox 17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25" name="TextBox 17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26" name="TextBox 17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27" name="TextBox 17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28" name="TextBox 17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29" name="TextBox 17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30" name="TextBox 17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31" name="TextBox 17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32" name="TextBox 17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733" name="TextBox 17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734" name="TextBox 17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735" name="TextBox 17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736" name="TextBox 17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737" name="TextBox 17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738" name="TextBox 17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39" name="TextBox 17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40" name="TextBox 17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41" name="TextBox 17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42" name="TextBox 17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43" name="TextBox 17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44" name="TextBox 17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45" name="TextBox 17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46" name="TextBox 17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47" name="TextBox 17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48" name="TextBox 17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49" name="TextBox 17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50" name="TextBox 17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51" name="TextBox 17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52" name="TextBox 17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53" name="TextBox 17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54" name="TextBox 17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55" name="TextBox 17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56" name="TextBox 17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57" name="TextBox 17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58" name="TextBox 17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59" name="TextBox 17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60" name="TextBox 17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61" name="TextBox 17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62" name="TextBox 17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63" name="TextBox 17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64" name="TextBox 17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65" name="TextBox 17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66" name="TextBox 17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67" name="TextBox 17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68" name="TextBox 17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69" name="TextBox 17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70" name="TextBox 17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71" name="TextBox 17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72" name="TextBox 17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73" name="TextBox 17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74" name="TextBox 17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75" name="TextBox 17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76" name="TextBox 17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77" name="TextBox 17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78" name="TextBox 17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79" name="TextBox 17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80" name="TextBox 17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81" name="TextBox 17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82" name="TextBox 17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83" name="TextBox 17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84" name="TextBox 17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85" name="TextBox 17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86" name="TextBox 17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87" name="TextBox 17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88" name="TextBox 17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89" name="TextBox 17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90" name="TextBox 17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91" name="TextBox 17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92" name="TextBox 17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93" name="TextBox 17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94" name="TextBox 17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95" name="TextBox 17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96" name="TextBox 17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97" name="TextBox 17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798" name="TextBox 17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799" name="TextBox 17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00" name="TextBox 17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01" name="TextBox 17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02" name="TextBox 17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03" name="TextBox 17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04" name="TextBox 17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05" name="TextBox 17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06" name="TextBox 17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07" name="TextBox 17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08" name="TextBox 17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09" name="TextBox 17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10" name="TextBox 17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11" name="TextBox 17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12" name="TextBox 17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13" name="TextBox 17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14" name="TextBox 17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15" name="TextBox 17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16" name="TextBox 17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17" name="TextBox 17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18" name="TextBox 17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19" name="TextBox 17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20" name="TextBox 17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21" name="TextBox 17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22" name="TextBox 17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823" name="TextBox 17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824" name="TextBox 17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825" name="TextBox 17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826" name="TextBox 17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827" name="TextBox 17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828" name="TextBox 17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29" name="TextBox 17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30" name="TextBox 17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31" name="TextBox 17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32" name="TextBox 17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33" name="TextBox 17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34" name="TextBox 17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35" name="TextBox 17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36" name="TextBox 17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37" name="TextBox 17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38" name="TextBox 17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39" name="TextBox 17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40" name="TextBox 17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41" name="TextBox 17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42" name="TextBox 17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43" name="TextBox 17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44" name="TextBox 17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45" name="TextBox 17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46" name="TextBox 17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47" name="TextBox 17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48" name="TextBox 17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49" name="TextBox 17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50" name="TextBox 17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51" name="TextBox 17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52" name="TextBox 17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53" name="TextBox 17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54" name="TextBox 17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55" name="TextBox 17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56" name="TextBox 17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57" name="TextBox 17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58" name="TextBox 17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59" name="TextBox 17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60" name="TextBox 17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61" name="TextBox 17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62" name="TextBox 17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63" name="TextBox 17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64" name="TextBox 17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65" name="TextBox 17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66" name="TextBox 17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67" name="TextBox 17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68" name="TextBox 17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69" name="TextBox 17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70" name="TextBox 17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71" name="TextBox 17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72" name="TextBox 17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73" name="TextBox 17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74" name="TextBox 17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75" name="TextBox 17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76" name="TextBox 17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77" name="TextBox 17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78" name="TextBox 17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79" name="TextBox 17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80" name="TextBox 17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81" name="TextBox 17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82" name="TextBox 17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83" name="TextBox 17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84" name="TextBox 17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85" name="TextBox 17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86" name="TextBox 17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87" name="TextBox 17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888" name="TextBox 17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89" name="TextBox 17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90" name="TextBox 17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91" name="TextBox 17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92" name="TextBox 17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93" name="TextBox 17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94" name="TextBox 17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95" name="TextBox 17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96" name="TextBox 17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97" name="TextBox 17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98" name="TextBox 17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899" name="TextBox 17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00" name="TextBox 17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01" name="TextBox 17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02" name="TextBox 17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03" name="TextBox 17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04" name="TextBox 17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05" name="TextBox 17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06" name="TextBox 17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07" name="TextBox 17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08" name="TextBox 17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09" name="TextBox 17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10" name="TextBox 17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11" name="TextBox 17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12" name="TextBox 17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913" name="TextBox 17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914" name="TextBox 17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915" name="TextBox 17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916" name="TextBox 17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917" name="TextBox 17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918" name="TextBox 17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19" name="TextBox 17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20" name="TextBox 17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21" name="TextBox 17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22" name="TextBox 17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23" name="TextBox 17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24" name="TextBox 17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25" name="TextBox 17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26" name="TextBox 17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27" name="TextBox 17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28" name="TextBox 17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29" name="TextBox 17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30" name="TextBox 17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31" name="TextBox 17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32" name="TextBox 17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33" name="TextBox 17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34" name="TextBox 17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35" name="TextBox 17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36" name="TextBox 17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37" name="TextBox 17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38" name="TextBox 17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39" name="TextBox 17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40" name="TextBox 17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41" name="TextBox 17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42" name="TextBox 17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943" name="TextBox 17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944" name="TextBox 17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945" name="TextBox 17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946" name="TextBox 17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947" name="TextBox 17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948" name="TextBox 17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49" name="TextBox 17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50" name="TextBox 17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51" name="TextBox 17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52" name="TextBox 17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53" name="TextBox 17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54" name="TextBox 17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55" name="TextBox 17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56" name="TextBox 17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57" name="TextBox 17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58" name="TextBox 17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59" name="TextBox 17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60" name="TextBox 17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61" name="TextBox 17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62" name="TextBox 17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63" name="TextBox 17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64" name="TextBox 17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65" name="TextBox 17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66" name="TextBox 17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67" name="TextBox 17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68" name="TextBox 17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69" name="TextBox 17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70" name="TextBox 17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71" name="TextBox 17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72" name="TextBox 17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73" name="TextBox 17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74" name="TextBox 17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75" name="TextBox 17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76" name="TextBox 17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77" name="TextBox 17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78" name="TextBox 17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79" name="TextBox 17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80" name="TextBox 17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81" name="TextBox 17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82" name="TextBox 17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83" name="TextBox 17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7984" name="TextBox 17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985" name="TextBox 17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986" name="TextBox 17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987" name="TextBox 17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988" name="TextBox 17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989" name="TextBox 17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7990" name="TextBox 17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991" name="TextBox 17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992" name="TextBox 17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993" name="TextBox 17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994" name="TextBox 17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995" name="TextBox 17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7996" name="TextBox 17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997" name="TextBox 17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998" name="TextBox 17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7999" name="TextBox 17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000" name="TextBox 17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001" name="TextBox 18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002" name="TextBox 18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003" name="TextBox 18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004" name="TextBox 18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005" name="TextBox 18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006" name="TextBox 18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007" name="TextBox 18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008" name="TextBox 18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09" name="TextBox 18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10" name="TextBox 18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11" name="TextBox 18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12" name="TextBox 18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13" name="TextBox 18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14" name="TextBox 18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15" name="TextBox 18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16" name="TextBox 18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17" name="TextBox 18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18" name="TextBox 18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19" name="TextBox 18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20" name="TextBox 18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021" name="TextBox 18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022" name="TextBox 18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023" name="TextBox 18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024" name="TextBox 18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025" name="TextBox 18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026" name="TextBox 18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27" name="TextBox 18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28" name="TextBox 18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29" name="TextBox 18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30" name="TextBox 18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31" name="TextBox 18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32" name="TextBox 18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33" name="TextBox 18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34" name="TextBox 18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35" name="TextBox 18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36" name="TextBox 18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37" name="TextBox 18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38" name="TextBox 18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39" name="TextBox 18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40" name="TextBox 18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41" name="TextBox 18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42" name="TextBox 18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43" name="TextBox 18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44" name="TextBox 18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045" name="TextBox 18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046" name="TextBox 18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047" name="TextBox 18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048" name="TextBox 18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049" name="TextBox 18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050" name="TextBox 18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51" name="TextBox 18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52" name="TextBox 18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53" name="TextBox 18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54" name="TextBox 18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55" name="TextBox 18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56" name="TextBox 18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57" name="TextBox 18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58" name="TextBox 18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59" name="TextBox 18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60" name="TextBox 18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61" name="TextBox 18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62" name="TextBox 18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63" name="TextBox 18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64" name="TextBox 18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65" name="TextBox 18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66" name="TextBox 18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67" name="TextBox 18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68" name="TextBox 18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69" name="TextBox 18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70" name="TextBox 18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71" name="TextBox 18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72" name="TextBox 18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73" name="TextBox 18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74" name="TextBox 18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075" name="TextBox 18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076" name="TextBox 18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077" name="TextBox 18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078" name="TextBox 18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079" name="TextBox 18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080" name="TextBox 18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081" name="TextBox 18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082" name="TextBox 18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083" name="TextBox 18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084" name="TextBox 18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085" name="TextBox 18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086" name="TextBox 18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87" name="TextBox 18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88" name="TextBox 18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89" name="TextBox 18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90" name="TextBox 18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91" name="TextBox 18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92" name="TextBox 18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93" name="TextBox 18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94" name="TextBox 18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95" name="TextBox 18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96" name="TextBox 18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97" name="TextBox 18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098" name="TextBox 18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099" name="TextBox 18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00" name="TextBox 18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01" name="TextBox 18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02" name="TextBox 18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03" name="TextBox 18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04" name="TextBox 18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05" name="TextBox 18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06" name="TextBox 18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07" name="TextBox 18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08" name="TextBox 18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09" name="TextBox 18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10" name="TextBox 18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111" name="TextBox 18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112" name="TextBox 18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113" name="TextBox 18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114" name="TextBox 18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115" name="TextBox 18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116" name="TextBox 18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17" name="TextBox 18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18" name="TextBox 18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19" name="TextBox 18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20" name="TextBox 18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21" name="TextBox 18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22" name="TextBox 18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23" name="TextBox 18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24" name="TextBox 18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25" name="TextBox 18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26" name="TextBox 18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27" name="TextBox 18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28" name="TextBox 18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29" name="TextBox 18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30" name="TextBox 18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31" name="TextBox 18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32" name="TextBox 18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33" name="TextBox 18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34" name="TextBox 18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135" name="TextBox 18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136" name="TextBox 18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137" name="TextBox 18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138" name="TextBox 18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139" name="TextBox 18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140" name="TextBox 18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41" name="TextBox 18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42" name="TextBox 18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43" name="TextBox 18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44" name="TextBox 18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45" name="TextBox 18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46" name="TextBox 18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47" name="TextBox 18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48" name="TextBox 18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49" name="TextBox 18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50" name="TextBox 18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51" name="TextBox 18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52" name="TextBox 18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53" name="TextBox 18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54" name="TextBox 18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55" name="TextBox 18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56" name="TextBox 18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57" name="TextBox 18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58" name="TextBox 18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59" name="TextBox 18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60" name="TextBox 18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61" name="TextBox 18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62" name="TextBox 18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63" name="TextBox 18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64" name="TextBox 18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165" name="TextBox 18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166" name="TextBox 18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167" name="TextBox 18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168" name="TextBox 18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169" name="TextBox 18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170" name="TextBox 18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71" name="TextBox 18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72" name="TextBox 18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73" name="TextBox 18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74" name="TextBox 18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75" name="TextBox 18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76" name="TextBox 18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77" name="TextBox 18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78" name="TextBox 18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79" name="TextBox 18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80" name="TextBox 18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81" name="TextBox 18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82" name="TextBox 18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83" name="TextBox 18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84" name="TextBox 18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85" name="TextBox 18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86" name="TextBox 18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87" name="TextBox 18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88" name="TextBox 18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89" name="TextBox 18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90" name="TextBox 18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91" name="TextBox 18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92" name="TextBox 18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93" name="TextBox 18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94" name="TextBox 18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95" name="TextBox 18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96" name="TextBox 18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97" name="TextBox 18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98" name="TextBox 18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199" name="TextBox 18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00" name="TextBox 18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01" name="TextBox 18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02" name="TextBox 18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03" name="TextBox 18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04" name="TextBox 18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05" name="TextBox 18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06" name="TextBox 18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207" name="TextBox 18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208" name="TextBox 18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209" name="TextBox 18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210" name="TextBox 18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211" name="TextBox 18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212" name="TextBox 18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13" name="TextBox 18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14" name="TextBox 18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15" name="TextBox 18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16" name="TextBox 18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17" name="TextBox 18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18" name="TextBox 18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219" name="TextBox 18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220" name="TextBox 18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221" name="TextBox 18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222" name="TextBox 18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223" name="TextBox 18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224" name="TextBox 18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225" name="TextBox 18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226" name="TextBox 18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227" name="TextBox 18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228" name="TextBox 18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229" name="TextBox 18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230" name="TextBox 18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31" name="TextBox 18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32" name="TextBox 18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33" name="TextBox 18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34" name="TextBox 18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35" name="TextBox 18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36" name="TextBox 18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37" name="TextBox 18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38" name="TextBox 18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39" name="TextBox 18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40" name="TextBox 18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41" name="TextBox 18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42" name="TextBox 18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243" name="TextBox 18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244" name="TextBox 18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245" name="TextBox 18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246" name="TextBox 18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247" name="TextBox 18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248" name="TextBox 18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49" name="TextBox 18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50" name="TextBox 18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51" name="TextBox 18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52" name="TextBox 18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53" name="TextBox 18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54" name="TextBox 18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55" name="TextBox 18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56" name="TextBox 18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57" name="TextBox 18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58" name="TextBox 18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59" name="TextBox 18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60" name="TextBox 18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61" name="TextBox 18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62" name="TextBox 18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63" name="TextBox 18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64" name="TextBox 18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65" name="TextBox 18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66" name="TextBox 18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267" name="TextBox 18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268" name="TextBox 18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269" name="TextBox 18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270" name="TextBox 18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271" name="TextBox 18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272" name="TextBox 18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73" name="TextBox 18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74" name="TextBox 18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75" name="TextBox 18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76" name="TextBox 18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77" name="TextBox 18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78" name="TextBox 18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79" name="TextBox 18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80" name="TextBox 18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81" name="TextBox 18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82" name="TextBox 18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83" name="TextBox 18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84" name="TextBox 18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85" name="TextBox 18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86" name="TextBox 18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87" name="TextBox 18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88" name="TextBox 18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89" name="TextBox 18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90" name="TextBox 18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91" name="TextBox 18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92" name="TextBox 18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93" name="TextBox 18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94" name="TextBox 18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95" name="TextBox 18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296" name="TextBox 18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297" name="TextBox 18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298" name="TextBox 18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299" name="TextBox 18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300" name="TextBox 18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301" name="TextBox 18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302" name="TextBox 18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03" name="TextBox 18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04" name="TextBox 18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05" name="TextBox 18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06" name="TextBox 18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07" name="TextBox 18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08" name="TextBox 18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09" name="TextBox 18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10" name="TextBox 18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11" name="TextBox 18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12" name="TextBox 18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13" name="TextBox 18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14" name="TextBox 18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15" name="TextBox 18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16" name="TextBox 18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17" name="TextBox 18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18" name="TextBox 18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19" name="TextBox 18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20" name="TextBox 18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21" name="TextBox 18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22" name="TextBox 18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23" name="TextBox 18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24" name="TextBox 18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25" name="TextBox 18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26" name="TextBox 18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27" name="TextBox 18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28" name="TextBox 18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29" name="TextBox 18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30" name="TextBox 18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31" name="TextBox 18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32" name="TextBox 18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333" name="TextBox 18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334" name="TextBox 18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335" name="TextBox 18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336" name="TextBox 18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337" name="TextBox 18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338" name="TextBox 18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39" name="TextBox 18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40" name="TextBox 18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41" name="TextBox 18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42" name="TextBox 18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43" name="TextBox 18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44" name="TextBox 18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45" name="TextBox 18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46" name="TextBox 18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47" name="TextBox 18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48" name="TextBox 18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49" name="TextBox 18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50" name="TextBox 18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51" name="TextBox 18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52" name="TextBox 18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53" name="TextBox 18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54" name="TextBox 18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55" name="TextBox 18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56" name="TextBox 18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57" name="TextBox 18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58" name="TextBox 18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59" name="TextBox 18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60" name="TextBox 18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61" name="TextBox 18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62" name="TextBox 18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63" name="TextBox 18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64" name="TextBox 18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65" name="TextBox 18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66" name="TextBox 18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67" name="TextBox 18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68" name="TextBox 18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369" name="TextBox 18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370" name="TextBox 18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371" name="TextBox 18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372" name="TextBox 18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373" name="TextBox 18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374" name="TextBox 18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75" name="TextBox 18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76" name="TextBox 18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77" name="TextBox 18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78" name="TextBox 18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79" name="TextBox 18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80" name="TextBox 18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81" name="TextBox 18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82" name="TextBox 18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83" name="TextBox 18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84" name="TextBox 18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85" name="TextBox 18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86" name="TextBox 18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87" name="TextBox 18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88" name="TextBox 18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89" name="TextBox 18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90" name="TextBox 18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91" name="TextBox 18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92" name="TextBox 18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93" name="TextBox 18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94" name="TextBox 18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95" name="TextBox 18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96" name="TextBox 18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97" name="TextBox 18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98" name="TextBox 18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399" name="TextBox 18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400" name="TextBox 18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401" name="TextBox 18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402" name="TextBox 18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403" name="TextBox 18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404" name="TextBox 18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405" name="TextBox 18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406" name="TextBox 18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407" name="TextBox 18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408" name="TextBox 18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409" name="TextBox 18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410" name="TextBox 18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411" name="TextBox 18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412" name="TextBox 18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413" name="TextBox 18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414" name="TextBox 18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415" name="TextBox 18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416" name="TextBox 18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8417" name="TextBox 18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8418" name="TextBox 18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8419" name="TextBox 18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8420" name="TextBox 18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8421" name="TextBox 18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8422" name="TextBox 18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23" name="TextBox 18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24" name="TextBox 18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25" name="TextBox 18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26" name="TextBox 18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27" name="TextBox 18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28" name="TextBox 18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429" name="TextBox 18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430" name="TextBox 18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431" name="TextBox 18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432" name="TextBox 18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433" name="TextBox 18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434" name="TextBox 18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435" name="TextBox 18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436" name="TextBox 18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437" name="TextBox 18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438" name="TextBox 18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439" name="TextBox 18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440" name="TextBox 18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41" name="TextBox 18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42" name="TextBox 18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43" name="TextBox 18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44" name="TextBox 18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45" name="TextBox 18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46" name="TextBox 18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47" name="TextBox 18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48" name="TextBox 18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49" name="TextBox 18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50" name="TextBox 18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51" name="TextBox 18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52" name="TextBox 18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453" name="TextBox 18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454" name="TextBox 18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455" name="TextBox 18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456" name="TextBox 18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457" name="TextBox 18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458" name="TextBox 18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59" name="TextBox 18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60" name="TextBox 18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61" name="TextBox 18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62" name="TextBox 18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63" name="TextBox 18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64" name="TextBox 18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65" name="TextBox 18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66" name="TextBox 18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67" name="TextBox 18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68" name="TextBox 18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69" name="TextBox 18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70" name="TextBox 18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71" name="TextBox 18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72" name="TextBox 18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73" name="TextBox 18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74" name="TextBox 18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75" name="TextBox 18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76" name="TextBox 18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477" name="TextBox 18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478" name="TextBox 18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479" name="TextBox 18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480" name="TextBox 18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481" name="TextBox 18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482" name="TextBox 18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83" name="TextBox 18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84" name="TextBox 18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85" name="TextBox 18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86" name="TextBox 18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87" name="TextBox 18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88" name="TextBox 18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89" name="TextBox 18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90" name="TextBox 18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91" name="TextBox 18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92" name="TextBox 18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93" name="TextBox 18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94" name="TextBox 18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95" name="TextBox 18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96" name="TextBox 18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97" name="TextBox 18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98" name="TextBox 18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499" name="TextBox 18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00" name="TextBox 18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01" name="TextBox 18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02" name="TextBox 18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03" name="TextBox 18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04" name="TextBox 18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05" name="TextBox 18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06" name="TextBox 18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507" name="TextBox 18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508" name="TextBox 18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509" name="TextBox 18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510" name="TextBox 18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511" name="TextBox 18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512" name="TextBox 18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13" name="TextBox 18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14" name="TextBox 18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15" name="TextBox 18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16" name="TextBox 18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17" name="TextBox 18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18" name="TextBox 18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19" name="TextBox 18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20" name="TextBox 18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21" name="TextBox 18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22" name="TextBox 18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23" name="TextBox 18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24" name="TextBox 18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25" name="TextBox 18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26" name="TextBox 18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27" name="TextBox 18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28" name="TextBox 18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29" name="TextBox 18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30" name="TextBox 18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31" name="TextBox 18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32" name="TextBox 18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33" name="TextBox 18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34" name="TextBox 18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35" name="TextBox 18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36" name="TextBox 18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37" name="TextBox 18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38" name="TextBox 18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39" name="TextBox 18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40" name="TextBox 18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41" name="TextBox 18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42" name="TextBox 18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43" name="TextBox 18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44" name="TextBox 18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45" name="TextBox 18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46" name="TextBox 18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47" name="TextBox 18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48" name="TextBox 18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49" name="TextBox 18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50" name="TextBox 18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51" name="TextBox 18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52" name="TextBox 18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53" name="TextBox 18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54" name="TextBox 18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55" name="TextBox 18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56" name="TextBox 18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57" name="TextBox 18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58" name="TextBox 18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59" name="TextBox 18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60" name="TextBox 18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61" name="TextBox 18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62" name="TextBox 18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63" name="TextBox 18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64" name="TextBox 18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65" name="TextBox 18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66" name="TextBox 18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67" name="TextBox 18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68" name="TextBox 18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69" name="TextBox 18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70" name="TextBox 18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71" name="TextBox 18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72" name="TextBox 18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73" name="TextBox 18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74" name="TextBox 18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75" name="TextBox 18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76" name="TextBox 18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77" name="TextBox 18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78" name="TextBox 18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79" name="TextBox 18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80" name="TextBox 18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81" name="TextBox 18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82" name="TextBox 18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83" name="TextBox 18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84" name="TextBox 18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85" name="TextBox 18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86" name="TextBox 18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87" name="TextBox 18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88" name="TextBox 18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89" name="TextBox 18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90" name="TextBox 18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91" name="TextBox 18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92" name="TextBox 18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93" name="TextBox 18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94" name="TextBox 18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95" name="TextBox 18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596" name="TextBox 18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97" name="TextBox 18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98" name="TextBox 18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599" name="TextBox 18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600" name="TextBox 18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601" name="TextBox 18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602" name="TextBox 18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03" name="TextBox 18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04" name="TextBox 18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05" name="TextBox 18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06" name="TextBox 18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07" name="TextBox 18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08" name="TextBox 18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09" name="TextBox 18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10" name="TextBox 18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11" name="TextBox 18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12" name="TextBox 18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13" name="TextBox 18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14" name="TextBox 18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15" name="TextBox 18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16" name="TextBox 18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17" name="TextBox 18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18" name="TextBox 18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19" name="TextBox 18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20" name="TextBox 18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21" name="TextBox 18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22" name="TextBox 18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23" name="TextBox 18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24" name="TextBox 18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25" name="TextBox 18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26" name="TextBox 18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27" name="TextBox 18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28" name="TextBox 18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29" name="TextBox 18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30" name="TextBox 18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31" name="TextBox 18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32" name="TextBox 18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33" name="TextBox 18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34" name="TextBox 18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35" name="TextBox 18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36" name="TextBox 18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37" name="TextBox 18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38" name="TextBox 18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639" name="TextBox 18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640" name="TextBox 18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641" name="TextBox 18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642" name="TextBox 18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643" name="TextBox 18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644" name="TextBox 18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45" name="TextBox 18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46" name="TextBox 18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47" name="TextBox 18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48" name="TextBox 18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49" name="TextBox 18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50" name="TextBox 18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651" name="TextBox 18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652" name="TextBox 18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653" name="TextBox 18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654" name="TextBox 18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655" name="TextBox 18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656" name="TextBox 18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657" name="TextBox 18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658" name="TextBox 18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659" name="TextBox 18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660" name="TextBox 18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661" name="TextBox 18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662" name="TextBox 18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63" name="TextBox 18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64" name="TextBox 18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65" name="TextBox 18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66" name="TextBox 18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67" name="TextBox 18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68" name="TextBox 18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69" name="TextBox 18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70" name="TextBox 18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71" name="TextBox 18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72" name="TextBox 18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73" name="TextBox 18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74" name="TextBox 18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675" name="TextBox 18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676" name="TextBox 18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677" name="TextBox 18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678" name="TextBox 18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679" name="TextBox 18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680" name="TextBox 18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81" name="TextBox 18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82" name="TextBox 18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83" name="TextBox 18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84" name="TextBox 18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85" name="TextBox 18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86" name="TextBox 18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87" name="TextBox 18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88" name="TextBox 18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89" name="TextBox 18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90" name="TextBox 18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91" name="TextBox 18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92" name="TextBox 18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93" name="TextBox 18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94" name="TextBox 18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95" name="TextBox 18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96" name="TextBox 18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97" name="TextBox 18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698" name="TextBox 18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699" name="TextBox 18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700" name="TextBox 18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701" name="TextBox 18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702" name="TextBox 18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703" name="TextBox 18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704" name="TextBox 18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05" name="TextBox 18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06" name="TextBox 18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07" name="TextBox 18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08" name="TextBox 18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09" name="TextBox 18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10" name="TextBox 18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11" name="TextBox 18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12" name="TextBox 18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13" name="TextBox 18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14" name="TextBox 18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15" name="TextBox 18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16" name="TextBox 18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17" name="TextBox 18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18" name="TextBox 18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19" name="TextBox 18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20" name="TextBox 18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21" name="TextBox 18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22" name="TextBox 18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23" name="TextBox 18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24" name="TextBox 18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25" name="TextBox 18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26" name="TextBox 18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27" name="TextBox 18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28" name="TextBox 18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729" name="TextBox 18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730" name="TextBox 18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731" name="TextBox 18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732" name="TextBox 18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733" name="TextBox 18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734" name="TextBox 18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35" name="TextBox 18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36" name="TextBox 18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37" name="TextBox 18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38" name="TextBox 18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39" name="TextBox 18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40" name="TextBox 18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41" name="TextBox 18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42" name="TextBox 18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43" name="TextBox 18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44" name="TextBox 18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45" name="TextBox 18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46" name="TextBox 18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47" name="TextBox 18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48" name="TextBox 18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49" name="TextBox 18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50" name="TextBox 18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51" name="TextBox 18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52" name="TextBox 18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53" name="TextBox 18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54" name="TextBox 18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55" name="TextBox 18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56" name="TextBox 18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57" name="TextBox 18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58" name="TextBox 18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59" name="TextBox 18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60" name="TextBox 18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61" name="TextBox 18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62" name="TextBox 18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63" name="TextBox 18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64" name="TextBox 18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765" name="TextBox 18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766" name="TextBox 18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767" name="TextBox 18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768" name="TextBox 18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769" name="TextBox 18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770" name="TextBox 18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71" name="TextBox 18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72" name="TextBox 18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73" name="TextBox 18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74" name="TextBox 18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75" name="TextBox 18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76" name="TextBox 18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77" name="TextBox 18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78" name="TextBox 18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79" name="TextBox 18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80" name="TextBox 18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81" name="TextBox 18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82" name="TextBox 18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83" name="TextBox 18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84" name="TextBox 18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85" name="TextBox 18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86" name="TextBox 18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87" name="TextBox 18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88" name="TextBox 18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89" name="TextBox 18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90" name="TextBox 18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91" name="TextBox 18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92" name="TextBox 18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93" name="TextBox 18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94" name="TextBox 18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95" name="TextBox 18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96" name="TextBox 18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97" name="TextBox 18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98" name="TextBox 18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799" name="TextBox 18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00" name="TextBox 18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01" name="TextBox 18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02" name="TextBox 18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03" name="TextBox 18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04" name="TextBox 18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05" name="TextBox 18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06" name="TextBox 18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07" name="TextBox 18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08" name="TextBox 18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09" name="TextBox 18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10" name="TextBox 18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11" name="TextBox 18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12" name="TextBox 18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813" name="TextBox 18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814" name="TextBox 18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815" name="TextBox 18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816" name="TextBox 18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817" name="TextBox 18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8818" name="TextBox 18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19" name="TextBox 18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20" name="TextBox 18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21" name="TextBox 18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22" name="TextBox 18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23" name="TextBox 18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24" name="TextBox 18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825" name="TextBox 18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826" name="TextBox 18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827" name="TextBox 18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828" name="TextBox 18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829" name="TextBox 18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830" name="TextBox 18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831" name="TextBox 18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832" name="TextBox 18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833" name="TextBox 18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834" name="TextBox 18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835" name="TextBox 18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836" name="TextBox 18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37" name="TextBox 18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38" name="TextBox 18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39" name="TextBox 18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40" name="TextBox 18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41" name="TextBox 18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42" name="TextBox 18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43" name="TextBox 18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44" name="TextBox 18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45" name="TextBox 18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46" name="TextBox 18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47" name="TextBox 18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48" name="TextBox 18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849" name="TextBox 18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850" name="TextBox 18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851" name="TextBox 18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852" name="TextBox 18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853" name="TextBox 18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854" name="TextBox 18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55" name="TextBox 18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56" name="TextBox 18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57" name="TextBox 18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58" name="TextBox 18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59" name="TextBox 18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60" name="TextBox 18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61" name="TextBox 18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62" name="TextBox 18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63" name="TextBox 18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64" name="TextBox 18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65" name="TextBox 18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66" name="TextBox 18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67" name="TextBox 18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68" name="TextBox 18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69" name="TextBox 18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70" name="TextBox 18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71" name="TextBox 18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72" name="TextBox 18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873" name="TextBox 18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874" name="TextBox 18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875" name="TextBox 18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876" name="TextBox 18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877" name="TextBox 18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878" name="TextBox 18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79" name="TextBox 18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80" name="TextBox 18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81" name="TextBox 18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82" name="TextBox 18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83" name="TextBox 18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84" name="TextBox 18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85" name="TextBox 18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86" name="TextBox 18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87" name="TextBox 18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88" name="TextBox 18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89" name="TextBox 18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90" name="TextBox 18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91" name="TextBox 18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92" name="TextBox 18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93" name="TextBox 18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94" name="TextBox 18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95" name="TextBox 18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96" name="TextBox 18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97" name="TextBox 18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98" name="TextBox 18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899" name="TextBox 18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00" name="TextBox 18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01" name="TextBox 18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02" name="TextBox 18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903" name="TextBox 18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904" name="TextBox 18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905" name="TextBox 18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906" name="TextBox 18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907" name="TextBox 18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908" name="TextBox 18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09" name="TextBox 18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10" name="TextBox 18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11" name="TextBox 18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12" name="TextBox 18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13" name="TextBox 18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14" name="TextBox 18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15" name="TextBox 18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16" name="TextBox 18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17" name="TextBox 18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18" name="TextBox 18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19" name="TextBox 18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20" name="TextBox 18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21" name="TextBox 18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22" name="TextBox 18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23" name="TextBox 18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24" name="TextBox 18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25" name="TextBox 18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26" name="TextBox 18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27" name="TextBox 18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28" name="TextBox 18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29" name="TextBox 18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30" name="TextBox 18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31" name="TextBox 18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32" name="TextBox 18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33" name="TextBox 18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34" name="TextBox 18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35" name="TextBox 18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36" name="TextBox 18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37" name="TextBox 18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38" name="TextBox 18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939" name="TextBox 18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940" name="TextBox 18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941" name="TextBox 18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942" name="TextBox 18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943" name="TextBox 18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944" name="TextBox 18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45" name="TextBox 18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46" name="TextBox 18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47" name="TextBox 18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48" name="TextBox 18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49" name="TextBox 18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50" name="TextBox 18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51" name="TextBox 18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52" name="TextBox 18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53" name="TextBox 18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54" name="TextBox 18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55" name="TextBox 18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56" name="TextBox 18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57" name="TextBox 18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58" name="TextBox 18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59" name="TextBox 18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60" name="TextBox 18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61" name="TextBox 18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62" name="TextBox 18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63" name="TextBox 18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64" name="TextBox 18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65" name="TextBox 18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66" name="TextBox 18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67" name="TextBox 18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68" name="TextBox 18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69" name="TextBox 18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70" name="TextBox 18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71" name="TextBox 18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72" name="TextBox 18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73" name="TextBox 18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74" name="TextBox 18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75" name="TextBox 18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76" name="TextBox 18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77" name="TextBox 18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78" name="TextBox 18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79" name="TextBox 18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80" name="TextBox 18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981" name="TextBox 18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982" name="TextBox 18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983" name="TextBox 18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984" name="TextBox 18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985" name="TextBox 18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8986" name="TextBox 18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87" name="TextBox 18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88" name="TextBox 18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89" name="TextBox 18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90" name="TextBox 18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91" name="TextBox 18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92" name="TextBox 18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93" name="TextBox 18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94" name="TextBox 18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95" name="TextBox 18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96" name="TextBox 18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97" name="TextBox 18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98" name="TextBox 18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8999" name="TextBox 18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00" name="TextBox 18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01" name="TextBox 19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02" name="TextBox 19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03" name="TextBox 19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04" name="TextBox 19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05" name="TextBox 19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06" name="TextBox 19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07" name="TextBox 19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08" name="TextBox 19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09" name="TextBox 19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10" name="TextBox 19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11" name="TextBox 19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12" name="TextBox 19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13" name="TextBox 19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14" name="TextBox 19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15" name="TextBox 19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16" name="TextBox 19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17" name="TextBox 19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18" name="TextBox 19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19" name="TextBox 19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20" name="TextBox 19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21" name="TextBox 19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22" name="TextBox 19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023" name="TextBox 19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024" name="TextBox 19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025" name="TextBox 19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026" name="TextBox 19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027" name="TextBox 19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028" name="TextBox 19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29" name="TextBox 19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30" name="TextBox 19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31" name="TextBox 19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32" name="TextBox 19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33" name="TextBox 19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34" name="TextBox 19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35" name="TextBox 19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36" name="TextBox 19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37" name="TextBox 19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38" name="TextBox 19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39" name="TextBox 19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40" name="TextBox 19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41" name="TextBox 19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42" name="TextBox 19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43" name="TextBox 19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44" name="TextBox 19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45" name="TextBox 19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46" name="TextBox 19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47" name="TextBox 19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48" name="TextBox 19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49" name="TextBox 19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50" name="TextBox 19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51" name="TextBox 19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52" name="TextBox 19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53" name="TextBox 19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54" name="TextBox 19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55" name="TextBox 19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56" name="TextBox 19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57" name="TextBox 19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58" name="TextBox 19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59" name="TextBox 19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60" name="TextBox 19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61" name="TextBox 19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62" name="TextBox 19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63" name="TextBox 19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64" name="TextBox 19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65" name="TextBox 19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66" name="TextBox 19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67" name="TextBox 19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68" name="TextBox 19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69" name="TextBox 19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70" name="TextBox 19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71" name="TextBox 19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72" name="TextBox 19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73" name="TextBox 19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74" name="TextBox 19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75" name="TextBox 19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076" name="TextBox 19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077" name="TextBox 19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078" name="TextBox 19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079" name="TextBox 19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080" name="TextBox 19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081" name="TextBox 19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184731" cy="264560"/>
    <xdr:sp macro="" textlink="">
      <xdr:nvSpPr>
        <xdr:cNvPr id="19082" name="TextBox 19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083" name="TextBox 19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084" name="TextBox 19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085" name="TextBox 19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086" name="TextBox 19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087" name="TextBox 19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088" name="TextBox 19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089" name="TextBox 19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090" name="TextBox 19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091" name="TextBox 19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092" name="TextBox 19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093" name="TextBox 19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094" name="TextBox 19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095" name="TextBox 19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096" name="TextBox 19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097" name="TextBox 19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098" name="TextBox 19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099" name="TextBox 19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100" name="TextBox 19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01" name="TextBox 19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02" name="TextBox 19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03" name="TextBox 19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04" name="TextBox 19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05" name="TextBox 19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06" name="TextBox 19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07" name="TextBox 19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08" name="TextBox 19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09" name="TextBox 19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10" name="TextBox 19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11" name="TextBox 19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12" name="TextBox 19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113" name="TextBox 19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114" name="TextBox 19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115" name="TextBox 19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116" name="TextBox 19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117" name="TextBox 19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118" name="TextBox 19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19" name="TextBox 19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20" name="TextBox 19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21" name="TextBox 19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22" name="TextBox 19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23" name="TextBox 19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24" name="TextBox 19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25" name="TextBox 19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26" name="TextBox 19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27" name="TextBox 19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28" name="TextBox 19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29" name="TextBox 19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30" name="TextBox 19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31" name="TextBox 19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32" name="TextBox 19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33" name="TextBox 19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34" name="TextBox 19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35" name="TextBox 19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36" name="TextBox 19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137" name="TextBox 19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138" name="TextBox 19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139" name="TextBox 19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140" name="TextBox 19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141" name="TextBox 19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142" name="TextBox 19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43" name="TextBox 19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44" name="TextBox 19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45" name="TextBox 19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46" name="TextBox 19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47" name="TextBox 19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48" name="TextBox 19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49" name="TextBox 19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50" name="TextBox 19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51" name="TextBox 19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52" name="TextBox 19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53" name="TextBox 19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54" name="TextBox 19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55" name="TextBox 19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56" name="TextBox 19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57" name="TextBox 19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58" name="TextBox 19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59" name="TextBox 19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60" name="TextBox 19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61" name="TextBox 19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62" name="TextBox 19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63" name="TextBox 19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64" name="TextBox 19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65" name="TextBox 19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66" name="TextBox 19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167" name="TextBox 19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168" name="TextBox 19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169" name="TextBox 19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170" name="TextBox 19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171" name="TextBox 19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172" name="TextBox 19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173" name="TextBox 19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174" name="TextBox 19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175" name="TextBox 19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176" name="TextBox 19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177" name="TextBox 19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178" name="TextBox 19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79" name="TextBox 19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80" name="TextBox 19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81" name="TextBox 19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82" name="TextBox 19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83" name="TextBox 19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84" name="TextBox 19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85" name="TextBox 19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86" name="TextBox 19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87" name="TextBox 19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88" name="TextBox 19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89" name="TextBox 19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190" name="TextBox 19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191" name="TextBox 19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192" name="TextBox 19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193" name="TextBox 19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194" name="TextBox 19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195" name="TextBox 19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196" name="TextBox 19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197" name="TextBox 19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198" name="TextBox 19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199" name="TextBox 19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00" name="TextBox 19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01" name="TextBox 19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02" name="TextBox 19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203" name="TextBox 19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204" name="TextBox 19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205" name="TextBox 19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206" name="TextBox 19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207" name="TextBox 19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208" name="TextBox 19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09" name="TextBox 19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10" name="TextBox 19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11" name="TextBox 19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12" name="TextBox 19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13" name="TextBox 19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14" name="TextBox 19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15" name="TextBox 19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16" name="TextBox 19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17" name="TextBox 19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18" name="TextBox 19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19" name="TextBox 19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20" name="TextBox 19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21" name="TextBox 19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22" name="TextBox 19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23" name="TextBox 19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24" name="TextBox 19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25" name="TextBox 19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26" name="TextBox 19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227" name="TextBox 19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228" name="TextBox 19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229" name="TextBox 19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230" name="TextBox 19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231" name="TextBox 19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232" name="TextBox 19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33" name="TextBox 19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34" name="TextBox 19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35" name="TextBox 19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36" name="TextBox 19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37" name="TextBox 19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38" name="TextBox 19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39" name="TextBox 19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40" name="TextBox 19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41" name="TextBox 19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42" name="TextBox 19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43" name="TextBox 19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44" name="TextBox 19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45" name="TextBox 19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46" name="TextBox 19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47" name="TextBox 19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48" name="TextBox 19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49" name="TextBox 19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50" name="TextBox 19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51" name="TextBox 19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52" name="TextBox 19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53" name="TextBox 19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54" name="TextBox 19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55" name="TextBox 19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56" name="TextBox 19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257" name="TextBox 19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258" name="TextBox 19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259" name="TextBox 19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260" name="TextBox 19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261" name="TextBox 19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262" name="TextBox 19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263" name="TextBox 19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264" name="TextBox 19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265" name="TextBox 19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266" name="TextBox 19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267" name="TextBox 19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268" name="TextBox 19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69" name="TextBox 19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70" name="TextBox 19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71" name="TextBox 19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72" name="TextBox 19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73" name="TextBox 19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74" name="TextBox 19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75" name="TextBox 19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76" name="TextBox 19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77" name="TextBox 19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78" name="TextBox 19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79" name="TextBox 19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80" name="TextBox 19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281" name="TextBox 19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282" name="TextBox 19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283" name="TextBox 19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284" name="TextBox 19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285" name="TextBox 19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286" name="TextBox 19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287" name="TextBox 19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288" name="TextBox 19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289" name="TextBox 19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290" name="TextBox 19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291" name="TextBox 19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292" name="TextBox 19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93" name="TextBox 19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94" name="TextBox 19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95" name="TextBox 19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96" name="TextBox 19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97" name="TextBox 19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298" name="TextBox 19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299" name="TextBox 19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00" name="TextBox 19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01" name="TextBox 19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02" name="TextBox 19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03" name="TextBox 19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04" name="TextBox 19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05" name="TextBox 19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06" name="TextBox 19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07" name="TextBox 19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08" name="TextBox 19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09" name="TextBox 19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10" name="TextBox 19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11" name="TextBox 19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12" name="TextBox 19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13" name="TextBox 19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14" name="TextBox 19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15" name="TextBox 19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16" name="TextBox 19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317" name="TextBox 19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318" name="TextBox 19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319" name="TextBox 19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320" name="TextBox 19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321" name="TextBox 19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322" name="TextBox 19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23" name="TextBox 19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24" name="TextBox 19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25" name="TextBox 19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26" name="TextBox 19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27" name="TextBox 19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28" name="TextBox 19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29" name="TextBox 19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30" name="TextBox 19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31" name="TextBox 19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32" name="TextBox 19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33" name="TextBox 19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34" name="TextBox 19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35" name="TextBox 19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36" name="TextBox 19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37" name="TextBox 19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38" name="TextBox 19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39" name="TextBox 19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40" name="TextBox 19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41" name="TextBox 19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42" name="TextBox 19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43" name="TextBox 19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44" name="TextBox 19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45" name="TextBox 19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46" name="TextBox 19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347" name="TextBox 19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348" name="TextBox 19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349" name="TextBox 19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350" name="TextBox 19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351" name="TextBox 19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352" name="TextBox 19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53" name="TextBox 19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54" name="TextBox 19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55" name="TextBox 19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56" name="TextBox 19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57" name="TextBox 19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58" name="TextBox 19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59" name="TextBox 19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60" name="TextBox 19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61" name="TextBox 19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62" name="TextBox 19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63" name="TextBox 19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64" name="TextBox 19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65" name="TextBox 19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66" name="TextBox 19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67" name="TextBox 19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68" name="TextBox 19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69" name="TextBox 19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70" name="TextBox 19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71" name="TextBox 19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72" name="TextBox 19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73" name="TextBox 19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74" name="TextBox 19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75" name="TextBox 19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76" name="TextBox 19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377" name="TextBox 19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378" name="TextBox 19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379" name="TextBox 19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380" name="TextBox 19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381" name="TextBox 19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382" name="TextBox 19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83" name="TextBox 19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84" name="TextBox 19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85" name="TextBox 19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86" name="TextBox 19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87" name="TextBox 19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88" name="TextBox 19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89" name="TextBox 19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90" name="TextBox 19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91" name="TextBox 19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92" name="TextBox 19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93" name="TextBox 19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94" name="TextBox 19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95" name="TextBox 19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96" name="TextBox 19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97" name="TextBox 19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98" name="TextBox 19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399" name="TextBox 19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400" name="TextBox 19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401" name="TextBox 19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402" name="TextBox 19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403" name="TextBox 19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404" name="TextBox 19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405" name="TextBox 19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406" name="TextBox 19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407" name="TextBox 19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408" name="TextBox 19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409" name="TextBox 19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410" name="TextBox 19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411" name="TextBox 19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412" name="TextBox 19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413" name="TextBox 19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414" name="TextBox 19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415" name="TextBox 19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416" name="TextBox 19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417" name="TextBox 19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418" name="TextBox 19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419" name="TextBox 19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420" name="TextBox 19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421" name="TextBox 19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422" name="TextBox 19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423" name="TextBox 19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424" name="TextBox 19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25" name="TextBox 19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26" name="TextBox 19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27" name="TextBox 19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28" name="TextBox 19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29" name="TextBox 19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30" name="TextBox 19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431" name="TextBox 19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432" name="TextBox 19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433" name="TextBox 19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434" name="TextBox 19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435" name="TextBox 19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436" name="TextBox 19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437" name="TextBox 19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438" name="TextBox 19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439" name="TextBox 19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440" name="TextBox 19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441" name="TextBox 19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442" name="TextBox 19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43" name="TextBox 19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44" name="TextBox 19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45" name="TextBox 19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46" name="TextBox 19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47" name="TextBox 19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48" name="TextBox 19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49" name="TextBox 19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50" name="TextBox 19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51" name="TextBox 19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52" name="TextBox 19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53" name="TextBox 19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54" name="TextBox 19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455" name="TextBox 19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456" name="TextBox 19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457" name="TextBox 19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458" name="TextBox 19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459" name="TextBox 19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460" name="TextBox 19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61" name="TextBox 19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62" name="TextBox 19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63" name="TextBox 19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64" name="TextBox 19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65" name="TextBox 19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66" name="TextBox 19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67" name="TextBox 19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68" name="TextBox 19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69" name="TextBox 19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70" name="TextBox 19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71" name="TextBox 19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72" name="TextBox 19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73" name="TextBox 19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74" name="TextBox 19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75" name="TextBox 19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76" name="TextBox 19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77" name="TextBox 19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78" name="TextBox 19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479" name="TextBox 19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480" name="TextBox 19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481" name="TextBox 19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482" name="TextBox 19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483" name="TextBox 19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484" name="TextBox 19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85" name="TextBox 19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86" name="TextBox 19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87" name="TextBox 19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88" name="TextBox 19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89" name="TextBox 19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90" name="TextBox 19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91" name="TextBox 19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92" name="TextBox 19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93" name="TextBox 19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94" name="TextBox 19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95" name="TextBox 19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96" name="TextBox 19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97" name="TextBox 19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98" name="TextBox 19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499" name="TextBox 19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00" name="TextBox 19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01" name="TextBox 19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02" name="TextBox 19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03" name="TextBox 19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04" name="TextBox 19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05" name="TextBox 19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06" name="TextBox 19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07" name="TextBox 19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08" name="TextBox 19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509" name="TextBox 19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510" name="TextBox 19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511" name="TextBox 19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512" name="TextBox 19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513" name="TextBox 19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514" name="TextBox 19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15" name="TextBox 19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16" name="TextBox 19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17" name="TextBox 19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18" name="TextBox 19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19" name="TextBox 19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20" name="TextBox 19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21" name="TextBox 19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22" name="TextBox 19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23" name="TextBox 19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24" name="TextBox 19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25" name="TextBox 19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26" name="TextBox 19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27" name="TextBox 19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28" name="TextBox 19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29" name="TextBox 19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30" name="TextBox 19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31" name="TextBox 19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32" name="TextBox 19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33" name="TextBox 19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34" name="TextBox 19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35" name="TextBox 19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36" name="TextBox 19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37" name="TextBox 19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38" name="TextBox 19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39" name="TextBox 19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40" name="TextBox 19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41" name="TextBox 19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42" name="TextBox 19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43" name="TextBox 19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44" name="TextBox 19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45" name="TextBox 19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46" name="TextBox 19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47" name="TextBox 19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48" name="TextBox 19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49" name="TextBox 19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50" name="TextBox 19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51" name="TextBox 19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52" name="TextBox 19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53" name="TextBox 19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54" name="TextBox 19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55" name="TextBox 19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56" name="TextBox 19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57" name="TextBox 19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58" name="TextBox 19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59" name="TextBox 19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60" name="TextBox 19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61" name="TextBox 19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62" name="TextBox 19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63" name="TextBox 19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64" name="TextBox 19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65" name="TextBox 19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66" name="TextBox 19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67" name="TextBox 19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68" name="TextBox 19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69" name="TextBox 19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70" name="TextBox 19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71" name="TextBox 19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72" name="TextBox 19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73" name="TextBox 19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74" name="TextBox 19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75" name="TextBox 19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76" name="TextBox 19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77" name="TextBox 19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78" name="TextBox 19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79" name="TextBox 19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80" name="TextBox 19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81" name="TextBox 19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82" name="TextBox 19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83" name="TextBox 19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84" name="TextBox 19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85" name="TextBox 19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86" name="TextBox 19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87" name="TextBox 19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88" name="TextBox 19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89" name="TextBox 19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90" name="TextBox 19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91" name="TextBox 19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92" name="TextBox 19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93" name="TextBox 19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94" name="TextBox 19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95" name="TextBox 19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96" name="TextBox 19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97" name="TextBox 19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598" name="TextBox 19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599" name="TextBox 19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600" name="TextBox 19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601" name="TextBox 19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602" name="TextBox 19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603" name="TextBox 19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604" name="TextBox 19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05" name="TextBox 19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06" name="TextBox 19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07" name="TextBox 19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08" name="TextBox 19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09" name="TextBox 19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10" name="TextBox 19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11" name="TextBox 19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12" name="TextBox 19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13" name="TextBox 19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14" name="TextBox 19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15" name="TextBox 19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16" name="TextBox 19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17" name="TextBox 19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18" name="TextBox 19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19" name="TextBox 19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20" name="TextBox 19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21" name="TextBox 19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22" name="TextBox 19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23" name="TextBox 19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24" name="TextBox 19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25" name="TextBox 19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26" name="TextBox 19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27" name="TextBox 19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28" name="TextBox 19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29" name="TextBox 19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30" name="TextBox 19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31" name="TextBox 19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32" name="TextBox 19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33" name="TextBox 19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34" name="TextBox 19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35" name="TextBox 19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36" name="TextBox 19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37" name="TextBox 19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38" name="TextBox 19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39" name="TextBox 19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40" name="TextBox 19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641" name="TextBox 19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642" name="TextBox 19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643" name="TextBox 19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644" name="TextBox 19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645" name="TextBox 19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646" name="TextBox 19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47" name="TextBox 19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48" name="TextBox 19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49" name="TextBox 19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50" name="TextBox 19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51" name="TextBox 19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52" name="TextBox 19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653" name="TextBox 19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654" name="TextBox 19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655" name="TextBox 19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656" name="TextBox 19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657" name="TextBox 19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658" name="TextBox 19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659" name="TextBox 19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660" name="TextBox 19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661" name="TextBox 19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662" name="TextBox 19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663" name="TextBox 19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664" name="TextBox 19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65" name="TextBox 19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66" name="TextBox 19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67" name="TextBox 19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68" name="TextBox 19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69" name="TextBox 19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70" name="TextBox 19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71" name="TextBox 19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72" name="TextBox 19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73" name="TextBox 19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74" name="TextBox 19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75" name="TextBox 19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76" name="TextBox 19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677" name="TextBox 19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678" name="TextBox 19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679" name="TextBox 19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680" name="TextBox 19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681" name="TextBox 19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682" name="TextBox 19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83" name="TextBox 19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84" name="TextBox 19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85" name="TextBox 19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86" name="TextBox 19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87" name="TextBox 19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88" name="TextBox 19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89" name="TextBox 19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90" name="TextBox 19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91" name="TextBox 19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92" name="TextBox 19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93" name="TextBox 19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94" name="TextBox 19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95" name="TextBox 19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96" name="TextBox 19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97" name="TextBox 19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98" name="TextBox 19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699" name="TextBox 19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00" name="TextBox 19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701" name="TextBox 19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702" name="TextBox 19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703" name="TextBox 19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704" name="TextBox 19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705" name="TextBox 19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706" name="TextBox 19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07" name="TextBox 19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08" name="TextBox 19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09" name="TextBox 19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10" name="TextBox 19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11" name="TextBox 19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12" name="TextBox 19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13" name="TextBox 19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14" name="TextBox 19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15" name="TextBox 19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16" name="TextBox 19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17" name="TextBox 19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18" name="TextBox 19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19" name="TextBox 19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20" name="TextBox 19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21" name="TextBox 19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22" name="TextBox 19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23" name="TextBox 19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24" name="TextBox 19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25" name="TextBox 19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26" name="TextBox 19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27" name="TextBox 19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28" name="TextBox 19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29" name="TextBox 19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30" name="TextBox 19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731" name="TextBox 19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732" name="TextBox 19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733" name="TextBox 19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734" name="TextBox 19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735" name="TextBox 19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736" name="TextBox 19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37" name="TextBox 19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38" name="TextBox 19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39" name="TextBox 19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40" name="TextBox 19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41" name="TextBox 19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42" name="TextBox 19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43" name="TextBox 19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44" name="TextBox 19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45" name="TextBox 19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46" name="TextBox 19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47" name="TextBox 19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48" name="TextBox 19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49" name="TextBox 19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50" name="TextBox 19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51" name="TextBox 19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52" name="TextBox 19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53" name="TextBox 19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54" name="TextBox 19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55" name="TextBox 19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56" name="TextBox 19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57" name="TextBox 19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58" name="TextBox 19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59" name="TextBox 19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60" name="TextBox 19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61" name="TextBox 19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62" name="TextBox 19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63" name="TextBox 19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64" name="TextBox 19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65" name="TextBox 19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66" name="TextBox 19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767" name="TextBox 19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768" name="TextBox 19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769" name="TextBox 19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770" name="TextBox 19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771" name="TextBox 19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772" name="TextBox 19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73" name="TextBox 19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74" name="TextBox 19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75" name="TextBox 19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76" name="TextBox 19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77" name="TextBox 19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78" name="TextBox 19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79" name="TextBox 19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80" name="TextBox 19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81" name="TextBox 19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82" name="TextBox 19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83" name="TextBox 19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84" name="TextBox 19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85" name="TextBox 19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86" name="TextBox 19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87" name="TextBox 19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88" name="TextBox 19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89" name="TextBox 19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90" name="TextBox 19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91" name="TextBox 19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92" name="TextBox 19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93" name="TextBox 19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94" name="TextBox 19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95" name="TextBox 19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96" name="TextBox 19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97" name="TextBox 19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98" name="TextBox 19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799" name="TextBox 19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00" name="TextBox 19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01" name="TextBox 19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02" name="TextBox 19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03" name="TextBox 19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04" name="TextBox 19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05" name="TextBox 19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06" name="TextBox 19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07" name="TextBox 19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08" name="TextBox 19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09" name="TextBox 19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10" name="TextBox 19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11" name="TextBox 19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12" name="TextBox 19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13" name="TextBox 19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14" name="TextBox 19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15" name="TextBox 19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16" name="TextBox 19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17" name="TextBox 19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18" name="TextBox 19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19" name="TextBox 19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20" name="TextBox 19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21" name="TextBox 19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22" name="TextBox 19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23" name="TextBox 19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24" name="TextBox 19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25" name="TextBox 19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26" name="TextBox 19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27" name="TextBox 19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28" name="TextBox 19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29" name="TextBox 19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30" name="TextBox 19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31" name="TextBox 19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32" name="TextBox 19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33" name="TextBox 19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34" name="TextBox 19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35" name="TextBox 19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36" name="TextBox 19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37" name="TextBox 19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38" name="TextBox 19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39" name="TextBox 19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40" name="TextBox 19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41" name="TextBox 19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42" name="TextBox 19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43" name="TextBox 19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44" name="TextBox 19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45" name="TextBox 19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46" name="TextBox 19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47" name="TextBox 19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48" name="TextBox 19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49" name="TextBox 19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850" name="TextBox 19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851" name="TextBox 19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852" name="TextBox 19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853" name="TextBox 19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854" name="TextBox 19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855" name="TextBox 19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19856" name="TextBox 19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57" name="TextBox 19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58" name="TextBox 19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59" name="TextBox 19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60" name="TextBox 19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61" name="TextBox 19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62" name="TextBox 19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863" name="TextBox 19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864" name="TextBox 19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865" name="TextBox 19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866" name="TextBox 19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867" name="TextBox 19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868" name="TextBox 19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869" name="TextBox 19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870" name="TextBox 19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871" name="TextBox 19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872" name="TextBox 19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873" name="TextBox 19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874" name="TextBox 19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75" name="TextBox 19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76" name="TextBox 19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77" name="TextBox 19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78" name="TextBox 19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79" name="TextBox 19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80" name="TextBox 19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81" name="TextBox 19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82" name="TextBox 19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83" name="TextBox 19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84" name="TextBox 19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85" name="TextBox 19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86" name="TextBox 19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887" name="TextBox 19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888" name="TextBox 19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889" name="TextBox 19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890" name="TextBox 19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891" name="TextBox 19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892" name="TextBox 19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93" name="TextBox 19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94" name="TextBox 19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95" name="TextBox 19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96" name="TextBox 19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97" name="TextBox 19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98" name="TextBox 19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899" name="TextBox 19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00" name="TextBox 19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01" name="TextBox 19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02" name="TextBox 19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03" name="TextBox 19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04" name="TextBox 19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05" name="TextBox 19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06" name="TextBox 19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07" name="TextBox 19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08" name="TextBox 19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09" name="TextBox 19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10" name="TextBox 19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911" name="TextBox 19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912" name="TextBox 19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913" name="TextBox 19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914" name="TextBox 19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915" name="TextBox 19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916" name="TextBox 19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17" name="TextBox 19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18" name="TextBox 19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19" name="TextBox 19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20" name="TextBox 19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21" name="TextBox 19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22" name="TextBox 19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23" name="TextBox 19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24" name="TextBox 19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25" name="TextBox 19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26" name="TextBox 19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27" name="TextBox 19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28" name="TextBox 19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29" name="TextBox 19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30" name="TextBox 19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31" name="TextBox 19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32" name="TextBox 19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33" name="TextBox 19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34" name="TextBox 19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35" name="TextBox 19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36" name="TextBox 19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37" name="TextBox 19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38" name="TextBox 19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39" name="TextBox 19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40" name="TextBox 19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941" name="TextBox 19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942" name="TextBox 19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943" name="TextBox 19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944" name="TextBox 19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945" name="TextBox 19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19946" name="TextBox 19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47" name="TextBox 19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48" name="TextBox 19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49" name="TextBox 19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50" name="TextBox 19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51" name="TextBox 19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52" name="TextBox 19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53" name="TextBox 19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54" name="TextBox 19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55" name="TextBox 19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56" name="TextBox 19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57" name="TextBox 19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58" name="TextBox 19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59" name="TextBox 19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60" name="TextBox 19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61" name="TextBox 19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62" name="TextBox 19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63" name="TextBox 19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64" name="TextBox 19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65" name="TextBox 19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66" name="TextBox 19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67" name="TextBox 19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68" name="TextBox 19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69" name="TextBox 19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70" name="TextBox 19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71" name="TextBox 19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72" name="TextBox 19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73" name="TextBox 19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74" name="TextBox 19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75" name="TextBox 19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76" name="TextBox 19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77" name="TextBox 19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78" name="TextBox 19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79" name="TextBox 19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80" name="TextBox 19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81" name="TextBox 19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9982" name="TextBox 19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83" name="TextBox 19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84" name="TextBox 19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85" name="TextBox 19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86" name="TextBox 19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87" name="TextBox 19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88" name="TextBox 19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89" name="TextBox 19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90" name="TextBox 19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91" name="TextBox 19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92" name="TextBox 19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93" name="TextBox 19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94" name="TextBox 19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95" name="TextBox 19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96" name="TextBox 19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97" name="TextBox 19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98" name="TextBox 19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19999" name="TextBox 19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00" name="TextBox 19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001" name="TextBox 20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002" name="TextBox 20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003" name="TextBox 20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004" name="TextBox 20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005" name="TextBox 20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006" name="TextBox 20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07" name="TextBox 20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08" name="TextBox 20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09" name="TextBox 20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10" name="TextBox 20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11" name="TextBox 20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12" name="TextBox 20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13" name="TextBox 20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14" name="TextBox 20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15" name="TextBox 20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16" name="TextBox 20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17" name="TextBox 20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18" name="TextBox 20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19" name="TextBox 20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20" name="TextBox 20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21" name="TextBox 20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22" name="TextBox 20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23" name="TextBox 20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24" name="TextBox 20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25" name="TextBox 20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26" name="TextBox 20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27" name="TextBox 20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28" name="TextBox 20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29" name="TextBox 20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30" name="TextBox 20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031" name="TextBox 20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032" name="TextBox 20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033" name="TextBox 20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034" name="TextBox 20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035" name="TextBox 20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036" name="TextBox 20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37" name="TextBox 20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38" name="TextBox 20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39" name="TextBox 20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40" name="TextBox 20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41" name="TextBox 20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42" name="TextBox 20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43" name="TextBox 20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44" name="TextBox 20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45" name="TextBox 20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46" name="TextBox 20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47" name="TextBox 20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48" name="TextBox 20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49" name="TextBox 20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50" name="TextBox 20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51" name="TextBox 20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52" name="TextBox 20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53" name="TextBox 20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54" name="TextBox 20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55" name="TextBox 20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56" name="TextBox 20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57" name="TextBox 20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58" name="TextBox 20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59" name="TextBox 20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60" name="TextBox 20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61" name="TextBox 20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62" name="TextBox 20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63" name="TextBox 20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64" name="TextBox 20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65" name="TextBox 20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66" name="TextBox 20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67" name="TextBox 20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68" name="TextBox 20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69" name="TextBox 20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70" name="TextBox 20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71" name="TextBox 20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72" name="TextBox 20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073" name="TextBox 20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074" name="TextBox 20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075" name="TextBox 20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076" name="TextBox 20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077" name="TextBox 20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078" name="TextBox 20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79" name="TextBox 20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80" name="TextBox 20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81" name="TextBox 20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82" name="TextBox 20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83" name="TextBox 20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84" name="TextBox 20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085" name="TextBox 20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086" name="TextBox 20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087" name="TextBox 20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088" name="TextBox 20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089" name="TextBox 20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090" name="TextBox 20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091" name="TextBox 20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092" name="TextBox 20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093" name="TextBox 20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094" name="TextBox 20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095" name="TextBox 20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096" name="TextBox 20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97" name="TextBox 20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98" name="TextBox 20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099" name="TextBox 20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00" name="TextBox 20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01" name="TextBox 20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02" name="TextBox 20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03" name="TextBox 20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04" name="TextBox 20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05" name="TextBox 20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06" name="TextBox 20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07" name="TextBox 20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08" name="TextBox 20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109" name="TextBox 20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110" name="TextBox 20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111" name="TextBox 20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112" name="TextBox 20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113" name="TextBox 20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114" name="TextBox 20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15" name="TextBox 20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16" name="TextBox 20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17" name="TextBox 20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18" name="TextBox 20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19" name="TextBox 20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20" name="TextBox 20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21" name="TextBox 20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22" name="TextBox 20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23" name="TextBox 20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24" name="TextBox 20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25" name="TextBox 20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26" name="TextBox 20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27" name="TextBox 20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28" name="TextBox 20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29" name="TextBox 20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30" name="TextBox 20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31" name="TextBox 20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32" name="TextBox 20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133" name="TextBox 20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134" name="TextBox 20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135" name="TextBox 20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136" name="TextBox 20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137" name="TextBox 20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138" name="TextBox 20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39" name="TextBox 20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40" name="TextBox 20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41" name="TextBox 20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42" name="TextBox 20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43" name="TextBox 20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44" name="TextBox 20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45" name="TextBox 20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46" name="TextBox 20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47" name="TextBox 20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48" name="TextBox 20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49" name="TextBox 20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50" name="TextBox 20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51" name="TextBox 20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52" name="TextBox 20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53" name="TextBox 20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54" name="TextBox 20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55" name="TextBox 20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56" name="TextBox 20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57" name="TextBox 20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58" name="TextBox 20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59" name="TextBox 20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60" name="TextBox 20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61" name="TextBox 20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62" name="TextBox 20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163" name="TextBox 20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164" name="TextBox 20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165" name="TextBox 20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166" name="TextBox 20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167" name="TextBox 20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168" name="TextBox 20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69" name="TextBox 20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70" name="TextBox 20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71" name="TextBox 20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72" name="TextBox 20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73" name="TextBox 20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74" name="TextBox 20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75" name="TextBox 20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76" name="TextBox 20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77" name="TextBox 20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78" name="TextBox 20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79" name="TextBox 20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80" name="TextBox 20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81" name="TextBox 20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82" name="TextBox 20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83" name="TextBox 20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84" name="TextBox 20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85" name="TextBox 20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86" name="TextBox 20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87" name="TextBox 20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88" name="TextBox 20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89" name="TextBox 20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90" name="TextBox 20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91" name="TextBox 20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92" name="TextBox 20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93" name="TextBox 20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94" name="TextBox 20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95" name="TextBox 20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96" name="TextBox 20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97" name="TextBox 20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198" name="TextBox 20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199" name="TextBox 20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200" name="TextBox 20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201" name="TextBox 20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202" name="TextBox 20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203" name="TextBox 20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204" name="TextBox 20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05" name="TextBox 20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06" name="TextBox 20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07" name="TextBox 20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08" name="TextBox 20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09" name="TextBox 20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10" name="TextBox 20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11" name="TextBox 20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12" name="TextBox 20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13" name="TextBox 20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14" name="TextBox 20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15" name="TextBox 20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16" name="TextBox 20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17" name="TextBox 20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18" name="TextBox 20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19" name="TextBox 20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20" name="TextBox 20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21" name="TextBox 20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22" name="TextBox 20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23" name="TextBox 20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24" name="TextBox 20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25" name="TextBox 20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26" name="TextBox 20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27" name="TextBox 20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28" name="TextBox 20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29" name="TextBox 20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30" name="TextBox 20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31" name="TextBox 20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32" name="TextBox 20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33" name="TextBox 20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34" name="TextBox 20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35" name="TextBox 20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36" name="TextBox 20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37" name="TextBox 20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38" name="TextBox 20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39" name="TextBox 20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40" name="TextBox 20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41" name="TextBox 20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42" name="TextBox 20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43" name="TextBox 20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44" name="TextBox 20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45" name="TextBox 20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46" name="TextBox 20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247" name="TextBox 20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248" name="TextBox 20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249" name="TextBox 20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250" name="TextBox 20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251" name="TextBox 20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252" name="TextBox 20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53" name="TextBox 20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54" name="TextBox 20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55" name="TextBox 20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56" name="TextBox 20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57" name="TextBox 20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58" name="TextBox 20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259" name="TextBox 20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260" name="TextBox 20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261" name="TextBox 20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262" name="TextBox 20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263" name="TextBox 20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264" name="TextBox 20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265" name="TextBox 20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266" name="TextBox 20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267" name="TextBox 20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268" name="TextBox 20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269" name="TextBox 20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270" name="TextBox 20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71" name="TextBox 20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72" name="TextBox 20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73" name="TextBox 20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74" name="TextBox 20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75" name="TextBox 20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76" name="TextBox 20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77" name="TextBox 20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78" name="TextBox 20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79" name="TextBox 20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80" name="TextBox 20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81" name="TextBox 20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82" name="TextBox 20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283" name="TextBox 20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284" name="TextBox 20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285" name="TextBox 20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286" name="TextBox 20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287" name="TextBox 20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288" name="TextBox 20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89" name="TextBox 20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90" name="TextBox 20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91" name="TextBox 20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92" name="TextBox 20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93" name="TextBox 20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94" name="TextBox 20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95" name="TextBox 20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96" name="TextBox 20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97" name="TextBox 20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98" name="TextBox 20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299" name="TextBox 20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00" name="TextBox 20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01" name="TextBox 20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02" name="TextBox 20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03" name="TextBox 20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04" name="TextBox 20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05" name="TextBox 20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06" name="TextBox 20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307" name="TextBox 20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308" name="TextBox 20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309" name="TextBox 20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310" name="TextBox 20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311" name="TextBox 20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312" name="TextBox 20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13" name="TextBox 20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14" name="TextBox 20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15" name="TextBox 20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16" name="TextBox 20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17" name="TextBox 20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18" name="TextBox 20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19" name="TextBox 20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20" name="TextBox 20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21" name="TextBox 20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22" name="TextBox 20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23" name="TextBox 20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24" name="TextBox 20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25" name="TextBox 20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26" name="TextBox 20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27" name="TextBox 20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28" name="TextBox 20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29" name="TextBox 20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30" name="TextBox 20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31" name="TextBox 20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32" name="TextBox 20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33" name="TextBox 20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34" name="TextBox 20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35" name="TextBox 20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36" name="TextBox 20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337" name="TextBox 20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338" name="TextBox 20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339" name="TextBox 20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340" name="TextBox 20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341" name="TextBox 20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342" name="TextBox 20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43" name="TextBox 20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44" name="TextBox 20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45" name="TextBox 20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46" name="TextBox 20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47" name="TextBox 20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48" name="TextBox 20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49" name="TextBox 20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50" name="TextBox 20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51" name="TextBox 20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52" name="TextBox 20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53" name="TextBox 20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54" name="TextBox 20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55" name="TextBox 20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56" name="TextBox 20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57" name="TextBox 20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58" name="TextBox 20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59" name="TextBox 20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60" name="TextBox 20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61" name="TextBox 20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62" name="TextBox 20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63" name="TextBox 20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64" name="TextBox 20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65" name="TextBox 20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66" name="TextBox 20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67" name="TextBox 20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68" name="TextBox 20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69" name="TextBox 20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70" name="TextBox 20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71" name="TextBox 20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72" name="TextBox 20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373" name="TextBox 20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374" name="TextBox 20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375" name="TextBox 20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376" name="TextBox 20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377" name="TextBox 20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378" name="TextBox 20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79" name="TextBox 20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80" name="TextBox 20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81" name="TextBox 20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82" name="TextBox 20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83" name="TextBox 20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84" name="TextBox 20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85" name="TextBox 20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86" name="TextBox 20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87" name="TextBox 20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88" name="TextBox 20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89" name="TextBox 20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90" name="TextBox 20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91" name="TextBox 20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92" name="TextBox 20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93" name="TextBox 20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94" name="TextBox 20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95" name="TextBox 20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96" name="TextBox 20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97" name="TextBox 20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98" name="TextBox 20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399" name="TextBox 20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00" name="TextBox 20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01" name="TextBox 20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02" name="TextBox 20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03" name="TextBox 20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04" name="TextBox 20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05" name="TextBox 20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06" name="TextBox 20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07" name="TextBox 20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08" name="TextBox 20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09" name="TextBox 20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10" name="TextBox 20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11" name="TextBox 20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12" name="TextBox 20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13" name="TextBox 20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14" name="TextBox 20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415" name="TextBox 20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416" name="TextBox 20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417" name="TextBox 20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418" name="TextBox 20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419" name="TextBox 20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420" name="TextBox 20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21" name="TextBox 20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22" name="TextBox 20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23" name="TextBox 20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24" name="TextBox 20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25" name="TextBox 20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26" name="TextBox 20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27" name="TextBox 20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28" name="TextBox 20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29" name="TextBox 20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30" name="TextBox 20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31" name="TextBox 20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32" name="TextBox 20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33" name="TextBox 20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34" name="TextBox 20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35" name="TextBox 20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36" name="TextBox 20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37" name="TextBox 20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38" name="TextBox 20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39" name="TextBox 20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40" name="TextBox 20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41" name="TextBox 20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42" name="TextBox 20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43" name="TextBox 20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44" name="TextBox 20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45" name="TextBox 20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46" name="TextBox 20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47" name="TextBox 20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48" name="TextBox 20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49" name="TextBox 20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50" name="TextBox 20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51" name="TextBox 20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52" name="TextBox 20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53" name="TextBox 20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54" name="TextBox 20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55" name="TextBox 20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56" name="TextBox 20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457" name="TextBox 20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458" name="TextBox 20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459" name="TextBox 20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460" name="TextBox 20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461" name="TextBox 20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462" name="TextBox 20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63" name="TextBox 20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64" name="TextBox 20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65" name="TextBox 20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66" name="TextBox 20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67" name="TextBox 20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68" name="TextBox 20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69" name="TextBox 20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70" name="TextBox 20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71" name="TextBox 20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72" name="TextBox 20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73" name="TextBox 20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74" name="TextBox 20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75" name="TextBox 20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76" name="TextBox 20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77" name="TextBox 20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78" name="TextBox 20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79" name="TextBox 20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80" name="TextBox 20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81" name="TextBox 20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82" name="TextBox 20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83" name="TextBox 20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84" name="TextBox 20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85" name="TextBox 20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86" name="TextBox 20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87" name="TextBox 20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88" name="TextBox 20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89" name="TextBox 20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90" name="TextBox 20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91" name="TextBox 20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92" name="TextBox 20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93" name="TextBox 20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94" name="TextBox 20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95" name="TextBox 20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96" name="TextBox 20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97" name="TextBox 20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98" name="TextBox 20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499" name="TextBox 20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500" name="TextBox 20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501" name="TextBox 20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502" name="TextBox 20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503" name="TextBox 20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504" name="TextBox 20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505" name="TextBox 20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506" name="TextBox 20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507" name="TextBox 20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508" name="TextBox 20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509" name="TextBox 20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510" name="TextBox 20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511" name="TextBox 20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512" name="TextBox 20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513" name="TextBox 20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514" name="TextBox 20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515" name="TextBox 20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184731" cy="264560"/>
    <xdr:sp macro="" textlink="">
      <xdr:nvSpPr>
        <xdr:cNvPr id="20516" name="TextBox 20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17" name="TextBox 20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18" name="TextBox 20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19" name="TextBox 20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20" name="TextBox 20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21" name="TextBox 20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22" name="TextBox 20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523" name="TextBox 20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524" name="TextBox 20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525" name="TextBox 20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526" name="TextBox 20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527" name="TextBox 20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528" name="TextBox 20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529" name="TextBox 20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530" name="TextBox 20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531" name="TextBox 20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532" name="TextBox 20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533" name="TextBox 20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534" name="TextBox 20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35" name="TextBox 20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36" name="TextBox 20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37" name="TextBox 20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38" name="TextBox 20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39" name="TextBox 20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40" name="TextBox 20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41" name="TextBox 20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42" name="TextBox 20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43" name="TextBox 20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44" name="TextBox 20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45" name="TextBox 20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46" name="TextBox 20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547" name="TextBox 20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548" name="TextBox 20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549" name="TextBox 20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550" name="TextBox 20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551" name="TextBox 20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552" name="TextBox 20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53" name="TextBox 20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54" name="TextBox 20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55" name="TextBox 20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56" name="TextBox 20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57" name="TextBox 20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58" name="TextBox 20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59" name="TextBox 20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60" name="TextBox 20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61" name="TextBox 20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62" name="TextBox 20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63" name="TextBox 20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64" name="TextBox 20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65" name="TextBox 20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66" name="TextBox 20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67" name="TextBox 20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68" name="TextBox 20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69" name="TextBox 20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70" name="TextBox 20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571" name="TextBox 20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572" name="TextBox 20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573" name="TextBox 20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574" name="TextBox 20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575" name="TextBox 20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576" name="TextBox 20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77" name="TextBox 20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78" name="TextBox 20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79" name="TextBox 20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80" name="TextBox 20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81" name="TextBox 20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82" name="TextBox 20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83" name="TextBox 20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84" name="TextBox 20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85" name="TextBox 20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86" name="TextBox 20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87" name="TextBox 20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88" name="TextBox 20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89" name="TextBox 20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90" name="TextBox 20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91" name="TextBox 20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92" name="TextBox 20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93" name="TextBox 20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94" name="TextBox 20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95" name="TextBox 20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96" name="TextBox 20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97" name="TextBox 20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98" name="TextBox 20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599" name="TextBox 20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00" name="TextBox 20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601" name="TextBox 20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602" name="TextBox 20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603" name="TextBox 20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604" name="TextBox 20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605" name="TextBox 20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606" name="TextBox 20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07" name="TextBox 20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08" name="TextBox 20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09" name="TextBox 20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10" name="TextBox 20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11" name="TextBox 20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12" name="TextBox 20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13" name="TextBox 20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14" name="TextBox 20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15" name="TextBox 20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16" name="TextBox 20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17" name="TextBox 20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18" name="TextBox 20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19" name="TextBox 20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20" name="TextBox 20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21" name="TextBox 20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22" name="TextBox 20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23" name="TextBox 20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24" name="TextBox 20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25" name="TextBox 20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26" name="TextBox 20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27" name="TextBox 20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28" name="TextBox 20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29" name="TextBox 20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30" name="TextBox 20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31" name="TextBox 20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32" name="TextBox 20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33" name="TextBox 20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34" name="TextBox 20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35" name="TextBox 20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36" name="TextBox 20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37" name="TextBox 20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38" name="TextBox 20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39" name="TextBox 20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40" name="TextBox 20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41" name="TextBox 20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42" name="TextBox 20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43" name="TextBox 20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44" name="TextBox 20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45" name="TextBox 20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46" name="TextBox 20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47" name="TextBox 20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48" name="TextBox 20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49" name="TextBox 20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50" name="TextBox 20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51" name="TextBox 20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52" name="TextBox 20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53" name="TextBox 20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54" name="TextBox 20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55" name="TextBox 20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56" name="TextBox 20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57" name="TextBox 20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58" name="TextBox 20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59" name="TextBox 20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60" name="TextBox 20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61" name="TextBox 20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62" name="TextBox 20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63" name="TextBox 20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64" name="TextBox 20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65" name="TextBox 20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66" name="TextBox 20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67" name="TextBox 20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68" name="TextBox 20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69" name="TextBox 20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70" name="TextBox 20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71" name="TextBox 20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72" name="TextBox 20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73" name="TextBox 20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74" name="TextBox 20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75" name="TextBox 20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76" name="TextBox 20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77" name="TextBox 20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78" name="TextBox 20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79" name="TextBox 20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80" name="TextBox 20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81" name="TextBox 20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82" name="TextBox 20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83" name="TextBox 20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84" name="TextBox 20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85" name="TextBox 20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86" name="TextBox 20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87" name="TextBox 20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88" name="TextBox 20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89" name="TextBox 20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690" name="TextBox 20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91" name="TextBox 20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92" name="TextBox 20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93" name="TextBox 20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94" name="TextBox 20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95" name="TextBox 20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696" name="TextBox 20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697" name="TextBox 20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698" name="TextBox 20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699" name="TextBox 20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00" name="TextBox 20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01" name="TextBox 20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02" name="TextBox 20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703" name="TextBox 20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704" name="TextBox 20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705" name="TextBox 20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706" name="TextBox 20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707" name="TextBox 20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708" name="TextBox 20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709" name="TextBox 20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710" name="TextBox 20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711" name="TextBox 20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712" name="TextBox 20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713" name="TextBox 20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714" name="TextBox 20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15" name="TextBox 20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16" name="TextBox 20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17" name="TextBox 20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18" name="TextBox 20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19" name="TextBox 20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20" name="TextBox 20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21" name="TextBox 20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22" name="TextBox 20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23" name="TextBox 20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24" name="TextBox 20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25" name="TextBox 20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26" name="TextBox 20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727" name="TextBox 20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728" name="TextBox 20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729" name="TextBox 20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730" name="TextBox 20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731" name="TextBox 20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732" name="TextBox 20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33" name="TextBox 20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34" name="TextBox 20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35" name="TextBox 20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36" name="TextBox 20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37" name="TextBox 20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38" name="TextBox 20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39" name="TextBox 20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40" name="TextBox 20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41" name="TextBox 20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42" name="TextBox 20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43" name="TextBox 20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44" name="TextBox 20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45" name="TextBox 20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46" name="TextBox 20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47" name="TextBox 20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48" name="TextBox 20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49" name="TextBox 20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50" name="TextBox 20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751" name="TextBox 20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752" name="TextBox 20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753" name="TextBox 20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754" name="TextBox 20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755" name="TextBox 20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756" name="TextBox 20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57" name="TextBox 20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58" name="TextBox 20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59" name="TextBox 20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60" name="TextBox 20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61" name="TextBox 20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62" name="TextBox 20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63" name="TextBox 20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64" name="TextBox 20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65" name="TextBox 20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66" name="TextBox 20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67" name="TextBox 20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68" name="TextBox 20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69" name="TextBox 20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70" name="TextBox 20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71" name="TextBox 20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72" name="TextBox 20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73" name="TextBox 20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74" name="TextBox 20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75" name="TextBox 20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76" name="TextBox 20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77" name="TextBox 20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78" name="TextBox 20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79" name="TextBox 20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80" name="TextBox 20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781" name="TextBox 20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782" name="TextBox 20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783" name="TextBox 20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784" name="TextBox 20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785" name="TextBox 20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786" name="TextBox 20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87" name="TextBox 20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88" name="TextBox 20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89" name="TextBox 20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90" name="TextBox 20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91" name="TextBox 20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92" name="TextBox 20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93" name="TextBox 20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94" name="TextBox 20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95" name="TextBox 20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96" name="TextBox 20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97" name="TextBox 20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98" name="TextBox 20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799" name="TextBox 20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00" name="TextBox 20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01" name="TextBox 20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02" name="TextBox 20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03" name="TextBox 20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04" name="TextBox 20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05" name="TextBox 20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06" name="TextBox 20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07" name="TextBox 20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08" name="TextBox 20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09" name="TextBox 20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10" name="TextBox 20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811" name="TextBox 20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812" name="TextBox 20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813" name="TextBox 20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814" name="TextBox 20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815" name="TextBox 20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816" name="TextBox 20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17" name="TextBox 20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18" name="TextBox 20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19" name="TextBox 20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20" name="TextBox 20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21" name="TextBox 20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22" name="TextBox 20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23" name="TextBox 20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24" name="TextBox 20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25" name="TextBox 20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26" name="TextBox 20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27" name="TextBox 20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28" name="TextBox 20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29" name="TextBox 20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30" name="TextBox 20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31" name="TextBox 20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32" name="TextBox 20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33" name="TextBox 20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34" name="TextBox 20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35" name="TextBox 20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36" name="TextBox 20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37" name="TextBox 20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38" name="TextBox 20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39" name="TextBox 20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40" name="TextBox 20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41" name="TextBox 20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42" name="TextBox 20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43" name="TextBox 20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44" name="TextBox 20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45" name="TextBox 20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46" name="TextBox 20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47" name="TextBox 20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48" name="TextBox 20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49" name="TextBox 20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50" name="TextBox 20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51" name="TextBox 20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852" name="TextBox 20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853" name="TextBox 20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854" name="TextBox 20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855" name="TextBox 20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856" name="TextBox 20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857" name="TextBox 20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0858" name="TextBox 20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859" name="TextBox 20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860" name="TextBox 20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861" name="TextBox 20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862" name="TextBox 20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863" name="TextBox 20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864" name="TextBox 20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865" name="TextBox 20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866" name="TextBox 20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867" name="TextBox 20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868" name="TextBox 20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869" name="TextBox 20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870" name="TextBox 20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871" name="TextBox 20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872" name="TextBox 20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873" name="TextBox 20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874" name="TextBox 20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875" name="TextBox 20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876" name="TextBox 20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877" name="TextBox 20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878" name="TextBox 20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879" name="TextBox 20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880" name="TextBox 20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881" name="TextBox 20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882" name="TextBox 20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883" name="TextBox 20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884" name="TextBox 20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885" name="TextBox 20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886" name="TextBox 20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887" name="TextBox 20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888" name="TextBox 20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889" name="TextBox 20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890" name="TextBox 20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891" name="TextBox 20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892" name="TextBox 20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893" name="TextBox 20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894" name="TextBox 20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895" name="TextBox 20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896" name="TextBox 20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897" name="TextBox 20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898" name="TextBox 20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899" name="TextBox 20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00" name="TextBox 20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01" name="TextBox 20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02" name="TextBox 20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03" name="TextBox 20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04" name="TextBox 20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05" name="TextBox 20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06" name="TextBox 20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07" name="TextBox 20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08" name="TextBox 20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09" name="TextBox 20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10" name="TextBox 20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11" name="TextBox 20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12" name="TextBox 20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913" name="TextBox 20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914" name="TextBox 20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915" name="TextBox 20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916" name="TextBox 20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917" name="TextBox 20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918" name="TextBox 20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19" name="TextBox 20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20" name="TextBox 20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21" name="TextBox 20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22" name="TextBox 20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23" name="TextBox 20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24" name="TextBox 20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25" name="TextBox 20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26" name="TextBox 20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27" name="TextBox 20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28" name="TextBox 20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29" name="TextBox 20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30" name="TextBox 20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31" name="TextBox 20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32" name="TextBox 20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33" name="TextBox 20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34" name="TextBox 20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35" name="TextBox 20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36" name="TextBox 20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37" name="TextBox 20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38" name="TextBox 20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39" name="TextBox 20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40" name="TextBox 20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41" name="TextBox 20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42" name="TextBox 20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943" name="TextBox 20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944" name="TextBox 20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945" name="TextBox 20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946" name="TextBox 20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947" name="TextBox 20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0948" name="TextBox 20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49" name="TextBox 20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50" name="TextBox 20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51" name="TextBox 20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52" name="TextBox 20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53" name="TextBox 20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54" name="TextBox 20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55" name="TextBox 20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56" name="TextBox 20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57" name="TextBox 20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58" name="TextBox 20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59" name="TextBox 20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60" name="TextBox 20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61" name="TextBox 20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62" name="TextBox 20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63" name="TextBox 20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64" name="TextBox 20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65" name="TextBox 20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66" name="TextBox 20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67" name="TextBox 20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68" name="TextBox 20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69" name="TextBox 20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70" name="TextBox 20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71" name="TextBox 20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72" name="TextBox 20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73" name="TextBox 20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74" name="TextBox 20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75" name="TextBox 20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76" name="TextBox 20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77" name="TextBox 20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78" name="TextBox 20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79" name="TextBox 20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80" name="TextBox 20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81" name="TextBox 20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82" name="TextBox 20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83" name="TextBox 20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0984" name="TextBox 20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85" name="TextBox 20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86" name="TextBox 20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87" name="TextBox 20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88" name="TextBox 20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89" name="TextBox 20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90" name="TextBox 20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91" name="TextBox 20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92" name="TextBox 20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93" name="TextBox 20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94" name="TextBox 20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95" name="TextBox 20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96" name="TextBox 20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97" name="TextBox 20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98" name="TextBox 20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0999" name="TextBox 20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00" name="TextBox 20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01" name="TextBox 21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02" name="TextBox 21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003" name="TextBox 21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004" name="TextBox 21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005" name="TextBox 21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006" name="TextBox 21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007" name="TextBox 21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008" name="TextBox 21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09" name="TextBox 21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10" name="TextBox 21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11" name="TextBox 21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12" name="TextBox 21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13" name="TextBox 21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14" name="TextBox 21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15" name="TextBox 21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16" name="TextBox 21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17" name="TextBox 21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18" name="TextBox 21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19" name="TextBox 21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20" name="TextBox 21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21" name="TextBox 21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22" name="TextBox 21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23" name="TextBox 21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24" name="TextBox 21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25" name="TextBox 21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26" name="TextBox 21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27" name="TextBox 21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28" name="TextBox 21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29" name="TextBox 21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30" name="TextBox 21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31" name="TextBox 21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32" name="TextBox 21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033" name="TextBox 21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034" name="TextBox 21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035" name="TextBox 21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036" name="TextBox 21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037" name="TextBox 21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038" name="TextBox 21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39" name="TextBox 21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40" name="TextBox 21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41" name="TextBox 21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42" name="TextBox 21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43" name="TextBox 21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44" name="TextBox 21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45" name="TextBox 21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46" name="TextBox 21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47" name="TextBox 21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48" name="TextBox 21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49" name="TextBox 21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50" name="TextBox 21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51" name="TextBox 21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52" name="TextBox 21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53" name="TextBox 21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54" name="TextBox 21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55" name="TextBox 21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56" name="TextBox 21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57" name="TextBox 21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58" name="TextBox 21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59" name="TextBox 21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60" name="TextBox 21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61" name="TextBox 21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62" name="TextBox 21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63" name="TextBox 21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64" name="TextBox 21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65" name="TextBox 21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66" name="TextBox 21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67" name="TextBox 21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68" name="TextBox 21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69" name="TextBox 21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70" name="TextBox 21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71" name="TextBox 21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72" name="TextBox 21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73" name="TextBox 21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74" name="TextBox 21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075" name="TextBox 21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076" name="TextBox 21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077" name="TextBox 21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078" name="TextBox 21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079" name="TextBox 21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080" name="TextBox 21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81" name="TextBox 21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82" name="TextBox 21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83" name="TextBox 21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84" name="TextBox 21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85" name="TextBox 21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86" name="TextBox 21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087" name="TextBox 21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088" name="TextBox 21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089" name="TextBox 21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090" name="TextBox 21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091" name="TextBox 21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092" name="TextBox 21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093" name="TextBox 21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094" name="TextBox 21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095" name="TextBox 21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096" name="TextBox 21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097" name="TextBox 21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098" name="TextBox 21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099" name="TextBox 21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00" name="TextBox 21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01" name="TextBox 21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02" name="TextBox 21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03" name="TextBox 21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04" name="TextBox 21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05" name="TextBox 21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06" name="TextBox 21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07" name="TextBox 21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08" name="TextBox 21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09" name="TextBox 21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10" name="TextBox 21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111" name="TextBox 21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112" name="TextBox 21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113" name="TextBox 21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114" name="TextBox 21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115" name="TextBox 21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116" name="TextBox 21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17" name="TextBox 21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18" name="TextBox 21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19" name="TextBox 21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20" name="TextBox 21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21" name="TextBox 21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22" name="TextBox 21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23" name="TextBox 21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24" name="TextBox 21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25" name="TextBox 21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26" name="TextBox 21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27" name="TextBox 21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28" name="TextBox 21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29" name="TextBox 21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30" name="TextBox 21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31" name="TextBox 21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32" name="TextBox 21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33" name="TextBox 21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34" name="TextBox 21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135" name="TextBox 21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136" name="TextBox 21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137" name="TextBox 21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138" name="TextBox 21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139" name="TextBox 21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140" name="TextBox 21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41" name="TextBox 21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42" name="TextBox 21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43" name="TextBox 21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44" name="TextBox 21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45" name="TextBox 21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46" name="TextBox 21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47" name="TextBox 21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48" name="TextBox 21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49" name="TextBox 21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50" name="TextBox 21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51" name="TextBox 21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52" name="TextBox 21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53" name="TextBox 21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54" name="TextBox 21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55" name="TextBox 21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56" name="TextBox 21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57" name="TextBox 21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58" name="TextBox 21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59" name="TextBox 21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60" name="TextBox 21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61" name="TextBox 21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62" name="TextBox 21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63" name="TextBox 21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64" name="TextBox 21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165" name="TextBox 21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166" name="TextBox 21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167" name="TextBox 21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168" name="TextBox 21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169" name="TextBox 21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170" name="TextBox 21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71" name="TextBox 21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72" name="TextBox 21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73" name="TextBox 21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74" name="TextBox 21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75" name="TextBox 21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76" name="TextBox 21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77" name="TextBox 21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78" name="TextBox 21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79" name="TextBox 21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80" name="TextBox 21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81" name="TextBox 21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82" name="TextBox 21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83" name="TextBox 21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84" name="TextBox 21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85" name="TextBox 21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86" name="TextBox 21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87" name="TextBox 21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88" name="TextBox 21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89" name="TextBox 21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90" name="TextBox 21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91" name="TextBox 21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92" name="TextBox 21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93" name="TextBox 21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94" name="TextBox 21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95" name="TextBox 21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96" name="TextBox 21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97" name="TextBox 21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98" name="TextBox 21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199" name="TextBox 21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00" name="TextBox 21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201" name="TextBox 21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202" name="TextBox 21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203" name="TextBox 21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204" name="TextBox 21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205" name="TextBox 21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206" name="TextBox 21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07" name="TextBox 21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08" name="TextBox 21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09" name="TextBox 21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10" name="TextBox 21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11" name="TextBox 21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12" name="TextBox 21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13" name="TextBox 21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14" name="TextBox 21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15" name="TextBox 21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16" name="TextBox 21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17" name="TextBox 21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18" name="TextBox 21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19" name="TextBox 21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20" name="TextBox 21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21" name="TextBox 21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22" name="TextBox 21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23" name="TextBox 21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24" name="TextBox 21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25" name="TextBox 21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26" name="TextBox 21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27" name="TextBox 21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28" name="TextBox 21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29" name="TextBox 21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30" name="TextBox 21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31" name="TextBox 21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32" name="TextBox 21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33" name="TextBox 21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34" name="TextBox 21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35" name="TextBox 21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36" name="TextBox 21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237" name="TextBox 21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238" name="TextBox 21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239" name="TextBox 21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240" name="TextBox 21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241" name="TextBox 21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242" name="TextBox 21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43" name="TextBox 21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44" name="TextBox 21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45" name="TextBox 21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46" name="TextBox 21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47" name="TextBox 21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48" name="TextBox 21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49" name="TextBox 21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50" name="TextBox 21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51" name="TextBox 21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52" name="TextBox 21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53" name="TextBox 21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54" name="TextBox 21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55" name="TextBox 21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56" name="TextBox 21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57" name="TextBox 21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58" name="TextBox 21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59" name="TextBox 21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60" name="TextBox 21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61" name="TextBox 21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62" name="TextBox 21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63" name="TextBox 21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64" name="TextBox 21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65" name="TextBox 21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66" name="TextBox 21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67" name="TextBox 21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68" name="TextBox 21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69" name="TextBox 21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70" name="TextBox 21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71" name="TextBox 21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72" name="TextBox 21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73" name="TextBox 21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74" name="TextBox 21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75" name="TextBox 21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76" name="TextBox 21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77" name="TextBox 21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78" name="TextBox 21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79" name="TextBox 21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80" name="TextBox 21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81" name="TextBox 21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82" name="TextBox 21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83" name="TextBox 21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284" name="TextBox 21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1285" name="TextBox 21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1286" name="TextBox 21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1287" name="TextBox 21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1288" name="TextBox 21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1289" name="TextBox 21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1290" name="TextBox 21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291" name="TextBox 21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292" name="TextBox 21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293" name="TextBox 21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294" name="TextBox 21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295" name="TextBox 21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296" name="TextBox 21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297" name="TextBox 21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298" name="TextBox 21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299" name="TextBox 21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300" name="TextBox 21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301" name="TextBox 21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302" name="TextBox 21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303" name="TextBox 21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304" name="TextBox 21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305" name="TextBox 21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306" name="TextBox 21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307" name="TextBox 21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308" name="TextBox 21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09" name="TextBox 21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10" name="TextBox 21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11" name="TextBox 21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12" name="TextBox 21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13" name="TextBox 21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14" name="TextBox 21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15" name="TextBox 21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16" name="TextBox 21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17" name="TextBox 21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18" name="TextBox 21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19" name="TextBox 21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20" name="TextBox 21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321" name="TextBox 21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322" name="TextBox 21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323" name="TextBox 21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324" name="TextBox 21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325" name="TextBox 21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326" name="TextBox 21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27" name="TextBox 21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28" name="TextBox 21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29" name="TextBox 21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30" name="TextBox 21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31" name="TextBox 21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32" name="TextBox 21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33" name="TextBox 21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34" name="TextBox 21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35" name="TextBox 21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36" name="TextBox 21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37" name="TextBox 21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38" name="TextBox 21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39" name="TextBox 21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40" name="TextBox 21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41" name="TextBox 21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42" name="TextBox 21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43" name="TextBox 21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44" name="TextBox 21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345" name="TextBox 21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346" name="TextBox 21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347" name="TextBox 21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348" name="TextBox 21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349" name="TextBox 21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350" name="TextBox 21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51" name="TextBox 21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52" name="TextBox 21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53" name="TextBox 21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54" name="TextBox 21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55" name="TextBox 21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56" name="TextBox 21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57" name="TextBox 21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58" name="TextBox 21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59" name="TextBox 21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60" name="TextBox 21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61" name="TextBox 21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62" name="TextBox 21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63" name="TextBox 21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64" name="TextBox 21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65" name="TextBox 21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66" name="TextBox 21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67" name="TextBox 21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68" name="TextBox 21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69" name="TextBox 21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70" name="TextBox 21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71" name="TextBox 21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72" name="TextBox 21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73" name="TextBox 21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74" name="TextBox 21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375" name="TextBox 21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376" name="TextBox 21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377" name="TextBox 21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378" name="TextBox 21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379" name="TextBox 21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380" name="TextBox 21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381" name="TextBox 21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382" name="TextBox 21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383" name="TextBox 21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384" name="TextBox 21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385" name="TextBox 21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386" name="TextBox 21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87" name="TextBox 21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88" name="TextBox 21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89" name="TextBox 21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90" name="TextBox 21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91" name="TextBox 21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92" name="TextBox 21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93" name="TextBox 21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94" name="TextBox 21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95" name="TextBox 21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96" name="TextBox 21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97" name="TextBox 21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398" name="TextBox 21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399" name="TextBox 21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00" name="TextBox 21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01" name="TextBox 21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02" name="TextBox 21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03" name="TextBox 21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04" name="TextBox 21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05" name="TextBox 21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06" name="TextBox 21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07" name="TextBox 21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08" name="TextBox 21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09" name="TextBox 21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10" name="TextBox 21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411" name="TextBox 21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412" name="TextBox 21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413" name="TextBox 21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414" name="TextBox 21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415" name="TextBox 21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416" name="TextBox 21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17" name="TextBox 21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18" name="TextBox 21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19" name="TextBox 21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20" name="TextBox 21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21" name="TextBox 21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22" name="TextBox 21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23" name="TextBox 21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24" name="TextBox 21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25" name="TextBox 21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26" name="TextBox 21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27" name="TextBox 21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28" name="TextBox 21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29" name="TextBox 21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30" name="TextBox 21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31" name="TextBox 21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32" name="TextBox 21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33" name="TextBox 21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34" name="TextBox 21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435" name="TextBox 21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436" name="TextBox 21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437" name="TextBox 21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438" name="TextBox 21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439" name="TextBox 21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440" name="TextBox 21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41" name="TextBox 21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42" name="TextBox 21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43" name="TextBox 21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44" name="TextBox 21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45" name="TextBox 21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46" name="TextBox 21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47" name="TextBox 21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48" name="TextBox 21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49" name="TextBox 21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50" name="TextBox 21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51" name="TextBox 21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52" name="TextBox 21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53" name="TextBox 21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54" name="TextBox 21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55" name="TextBox 21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56" name="TextBox 21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57" name="TextBox 21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58" name="TextBox 21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59" name="TextBox 21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60" name="TextBox 21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61" name="TextBox 21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62" name="TextBox 21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63" name="TextBox 21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64" name="TextBox 21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465" name="TextBox 21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466" name="TextBox 21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467" name="TextBox 21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468" name="TextBox 21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469" name="TextBox 21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470" name="TextBox 21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71" name="TextBox 21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72" name="TextBox 21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73" name="TextBox 21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74" name="TextBox 21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75" name="TextBox 21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76" name="TextBox 21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77" name="TextBox 21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78" name="TextBox 21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79" name="TextBox 21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80" name="TextBox 21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81" name="TextBox 21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82" name="TextBox 21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83" name="TextBox 21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84" name="TextBox 21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85" name="TextBox 21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86" name="TextBox 21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87" name="TextBox 21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88" name="TextBox 21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89" name="TextBox 21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90" name="TextBox 21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91" name="TextBox 21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92" name="TextBox 21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93" name="TextBox 21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94" name="TextBox 21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95" name="TextBox 21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96" name="TextBox 21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97" name="TextBox 21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98" name="TextBox 21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499" name="TextBox 21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00" name="TextBox 21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01" name="TextBox 21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02" name="TextBox 21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03" name="TextBox 21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04" name="TextBox 21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05" name="TextBox 21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06" name="TextBox 21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507" name="TextBox 21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508" name="TextBox 21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509" name="TextBox 21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510" name="TextBox 21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511" name="TextBox 21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512" name="TextBox 21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13" name="TextBox 21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14" name="TextBox 21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15" name="TextBox 21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16" name="TextBox 21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17" name="TextBox 21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18" name="TextBox 21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519" name="TextBox 21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520" name="TextBox 21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521" name="TextBox 21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522" name="TextBox 21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523" name="TextBox 21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524" name="TextBox 21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525" name="TextBox 21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526" name="TextBox 21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527" name="TextBox 21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528" name="TextBox 21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529" name="TextBox 21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530" name="TextBox 21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31" name="TextBox 21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32" name="TextBox 21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33" name="TextBox 21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34" name="TextBox 21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35" name="TextBox 21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36" name="TextBox 21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37" name="TextBox 21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38" name="TextBox 21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39" name="TextBox 21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40" name="TextBox 21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41" name="TextBox 21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42" name="TextBox 21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543" name="TextBox 21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544" name="TextBox 21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545" name="TextBox 21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546" name="TextBox 21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547" name="TextBox 21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548" name="TextBox 21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49" name="TextBox 21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50" name="TextBox 21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51" name="TextBox 21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52" name="TextBox 21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53" name="TextBox 21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54" name="TextBox 21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55" name="TextBox 21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56" name="TextBox 21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57" name="TextBox 21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58" name="TextBox 21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59" name="TextBox 21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60" name="TextBox 21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61" name="TextBox 21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62" name="TextBox 21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63" name="TextBox 21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64" name="TextBox 21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65" name="TextBox 21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66" name="TextBox 21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567" name="TextBox 21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568" name="TextBox 21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569" name="TextBox 21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570" name="TextBox 21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571" name="TextBox 21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572" name="TextBox 21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73" name="TextBox 21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74" name="TextBox 21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75" name="TextBox 21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76" name="TextBox 21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77" name="TextBox 21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78" name="TextBox 21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79" name="TextBox 21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80" name="TextBox 21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81" name="TextBox 21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82" name="TextBox 21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83" name="TextBox 21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84" name="TextBox 21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85" name="TextBox 21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86" name="TextBox 21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87" name="TextBox 21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88" name="TextBox 21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89" name="TextBox 21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90" name="TextBox 21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91" name="TextBox 21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92" name="TextBox 21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93" name="TextBox 21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94" name="TextBox 21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95" name="TextBox 21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596" name="TextBox 21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597" name="TextBox 21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598" name="TextBox 21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599" name="TextBox 21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600" name="TextBox 21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601" name="TextBox 21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602" name="TextBox 21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03" name="TextBox 21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04" name="TextBox 21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05" name="TextBox 21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06" name="TextBox 21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07" name="TextBox 21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08" name="TextBox 21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09" name="TextBox 21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10" name="TextBox 21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11" name="TextBox 21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12" name="TextBox 21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13" name="TextBox 21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14" name="TextBox 21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15" name="TextBox 21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16" name="TextBox 21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17" name="TextBox 21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18" name="TextBox 21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19" name="TextBox 21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20" name="TextBox 21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21" name="TextBox 21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22" name="TextBox 21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23" name="TextBox 21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24" name="TextBox 21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25" name="TextBox 21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26" name="TextBox 21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27" name="TextBox 21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28" name="TextBox 21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29" name="TextBox 21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30" name="TextBox 21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31" name="TextBox 21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32" name="TextBox 21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633" name="TextBox 21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634" name="TextBox 21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635" name="TextBox 21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636" name="TextBox 21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637" name="TextBox 21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638" name="TextBox 21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39" name="TextBox 21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40" name="TextBox 21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41" name="TextBox 21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42" name="TextBox 21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43" name="TextBox 21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44" name="TextBox 21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45" name="TextBox 21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46" name="TextBox 21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47" name="TextBox 21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48" name="TextBox 21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49" name="TextBox 21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50" name="TextBox 21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51" name="TextBox 21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52" name="TextBox 21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53" name="TextBox 21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54" name="TextBox 21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55" name="TextBox 21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56" name="TextBox 21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57" name="TextBox 21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58" name="TextBox 21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59" name="TextBox 21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60" name="TextBox 21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61" name="TextBox 21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62" name="TextBox 21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63" name="TextBox 21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64" name="TextBox 21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65" name="TextBox 21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66" name="TextBox 21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67" name="TextBox 21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68" name="TextBox 21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69" name="TextBox 21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70" name="TextBox 21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71" name="TextBox 21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72" name="TextBox 21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73" name="TextBox 21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74" name="TextBox 21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75" name="TextBox 21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76" name="TextBox 21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77" name="TextBox 21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78" name="TextBox 21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79" name="TextBox 21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80" name="TextBox 21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681" name="TextBox 21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682" name="TextBox 21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683" name="TextBox 21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684" name="TextBox 21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685" name="TextBox 21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686" name="TextBox 21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87" name="TextBox 21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88" name="TextBox 21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89" name="TextBox 21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90" name="TextBox 21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91" name="TextBox 21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692" name="TextBox 21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693" name="TextBox 21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694" name="TextBox 21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695" name="TextBox 21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696" name="TextBox 21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697" name="TextBox 21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698" name="TextBox 21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699" name="TextBox 21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700" name="TextBox 21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701" name="TextBox 21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702" name="TextBox 21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703" name="TextBox 21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704" name="TextBox 21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05" name="TextBox 21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06" name="TextBox 21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07" name="TextBox 21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08" name="TextBox 21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09" name="TextBox 21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10" name="TextBox 21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11" name="TextBox 21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12" name="TextBox 21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13" name="TextBox 21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14" name="TextBox 21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15" name="TextBox 21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16" name="TextBox 21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717" name="TextBox 21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718" name="TextBox 21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719" name="TextBox 21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720" name="TextBox 21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721" name="TextBox 21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722" name="TextBox 21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23" name="TextBox 21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24" name="TextBox 21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25" name="TextBox 21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26" name="TextBox 21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27" name="TextBox 21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28" name="TextBox 21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29" name="TextBox 21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30" name="TextBox 21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31" name="TextBox 21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32" name="TextBox 21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33" name="TextBox 21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34" name="TextBox 21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35" name="TextBox 21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36" name="TextBox 21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37" name="TextBox 21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38" name="TextBox 21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39" name="TextBox 21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40" name="TextBox 21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741" name="TextBox 21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742" name="TextBox 21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743" name="TextBox 21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744" name="TextBox 21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745" name="TextBox 21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746" name="TextBox 21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47" name="TextBox 21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48" name="TextBox 21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49" name="TextBox 21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50" name="TextBox 21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51" name="TextBox 21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52" name="TextBox 21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53" name="TextBox 21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54" name="TextBox 21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55" name="TextBox 21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56" name="TextBox 21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57" name="TextBox 21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58" name="TextBox 21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59" name="TextBox 21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60" name="TextBox 21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61" name="TextBox 21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62" name="TextBox 21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63" name="TextBox 21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64" name="TextBox 21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65" name="TextBox 21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66" name="TextBox 21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67" name="TextBox 21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68" name="TextBox 21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69" name="TextBox 21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70" name="TextBox 21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771" name="TextBox 21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772" name="TextBox 21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773" name="TextBox 21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774" name="TextBox 21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775" name="TextBox 21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776" name="TextBox 21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77" name="TextBox 21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78" name="TextBox 21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79" name="TextBox 21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80" name="TextBox 21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81" name="TextBox 21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82" name="TextBox 21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83" name="TextBox 21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84" name="TextBox 21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85" name="TextBox 21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86" name="TextBox 21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87" name="TextBox 21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88" name="TextBox 21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89" name="TextBox 21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90" name="TextBox 21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91" name="TextBox 21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92" name="TextBox 21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93" name="TextBox 21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94" name="TextBox 21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95" name="TextBox 21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96" name="TextBox 21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97" name="TextBox 21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98" name="TextBox 21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799" name="TextBox 21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00" name="TextBox 21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01" name="TextBox 21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02" name="TextBox 21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03" name="TextBox 21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04" name="TextBox 21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05" name="TextBox 21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06" name="TextBox 21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807" name="TextBox 21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808" name="TextBox 21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809" name="TextBox 21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810" name="TextBox 21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811" name="TextBox 21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812" name="TextBox 21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13" name="TextBox 21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14" name="TextBox 21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15" name="TextBox 21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16" name="TextBox 21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17" name="TextBox 21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18" name="TextBox 21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19" name="TextBox 21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20" name="TextBox 21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21" name="TextBox 21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22" name="TextBox 21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23" name="TextBox 21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24" name="TextBox 21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25" name="TextBox 21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26" name="TextBox 21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27" name="TextBox 21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28" name="TextBox 21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29" name="TextBox 21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30" name="TextBox 21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31" name="TextBox 21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32" name="TextBox 21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33" name="TextBox 21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34" name="TextBox 21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35" name="TextBox 21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36" name="TextBox 21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37" name="TextBox 21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38" name="TextBox 21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39" name="TextBox 21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40" name="TextBox 21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41" name="TextBox 21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42" name="TextBox 21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43" name="TextBox 21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44" name="TextBox 21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45" name="TextBox 21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46" name="TextBox 21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47" name="TextBox 21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48" name="TextBox 21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849" name="TextBox 21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850" name="TextBox 21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851" name="TextBox 21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852" name="TextBox 21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853" name="TextBox 21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854" name="TextBox 21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55" name="TextBox 21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56" name="TextBox 21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57" name="TextBox 21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58" name="TextBox 21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59" name="TextBox 21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60" name="TextBox 21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61" name="TextBox 21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62" name="TextBox 21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63" name="TextBox 21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64" name="TextBox 21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65" name="TextBox 21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66" name="TextBox 21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67" name="TextBox 21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68" name="TextBox 21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69" name="TextBox 21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70" name="TextBox 21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71" name="TextBox 21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72" name="TextBox 21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73" name="TextBox 21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74" name="TextBox 21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75" name="TextBox 21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76" name="TextBox 21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77" name="TextBox 21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78" name="TextBox 21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79" name="TextBox 21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80" name="TextBox 21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81" name="TextBox 21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82" name="TextBox 21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83" name="TextBox 21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84" name="TextBox 21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85" name="TextBox 21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86" name="TextBox 21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87" name="TextBox 21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88" name="TextBox 21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89" name="TextBox 21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90" name="TextBox 21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891" name="TextBox 21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892" name="TextBox 21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893" name="TextBox 21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894" name="TextBox 21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895" name="TextBox 21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896" name="TextBox 21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97" name="TextBox 21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98" name="TextBox 21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899" name="TextBox 21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00" name="TextBox 21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01" name="TextBox 21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02" name="TextBox 21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03" name="TextBox 21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04" name="TextBox 21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05" name="TextBox 21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06" name="TextBox 21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07" name="TextBox 21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08" name="TextBox 21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09" name="TextBox 21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10" name="TextBox 21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11" name="TextBox 21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12" name="TextBox 21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13" name="TextBox 21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14" name="TextBox 21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15" name="TextBox 21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16" name="TextBox 21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17" name="TextBox 21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18" name="TextBox 21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19" name="TextBox 21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20" name="TextBox 21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21" name="TextBox 21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22" name="TextBox 21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23" name="TextBox 21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24" name="TextBox 21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25" name="TextBox 21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26" name="TextBox 21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27" name="TextBox 21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28" name="TextBox 21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29" name="TextBox 21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30" name="TextBox 21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31" name="TextBox 21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32" name="TextBox 21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33" name="TextBox 21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34" name="TextBox 21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35" name="TextBox 21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36" name="TextBox 21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37" name="TextBox 21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38" name="TextBox 21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39" name="TextBox 21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40" name="TextBox 21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41" name="TextBox 21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42" name="TextBox 21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43" name="TextBox 21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1944" name="TextBox 21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1945" name="TextBox 21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1946" name="TextBox 21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1947" name="TextBox 21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1948" name="TextBox 21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1949" name="TextBox 21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63</xdr:row>
      <xdr:rowOff>0</xdr:rowOff>
    </xdr:from>
    <xdr:ext cx="184731" cy="264560"/>
    <xdr:sp macro="" textlink="">
      <xdr:nvSpPr>
        <xdr:cNvPr id="21950" name="TextBox 21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51" name="TextBox 21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52" name="TextBox 21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53" name="TextBox 21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54" name="TextBox 21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55" name="TextBox 21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56" name="TextBox 21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957" name="TextBox 21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958" name="TextBox 21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959" name="TextBox 21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960" name="TextBox 21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961" name="TextBox 21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962" name="TextBox 21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963" name="TextBox 21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964" name="TextBox 21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965" name="TextBox 21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966" name="TextBox 21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967" name="TextBox 21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968" name="TextBox 21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69" name="TextBox 21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70" name="TextBox 21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71" name="TextBox 21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72" name="TextBox 21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73" name="TextBox 21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74" name="TextBox 21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75" name="TextBox 21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76" name="TextBox 21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77" name="TextBox 21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78" name="TextBox 21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79" name="TextBox 21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80" name="TextBox 21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981" name="TextBox 21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982" name="TextBox 21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983" name="TextBox 21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984" name="TextBox 21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985" name="TextBox 21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1986" name="TextBox 21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87" name="TextBox 21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88" name="TextBox 21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89" name="TextBox 21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90" name="TextBox 21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91" name="TextBox 21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92" name="TextBox 21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93" name="TextBox 21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94" name="TextBox 21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95" name="TextBox 21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96" name="TextBox 21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97" name="TextBox 21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98" name="TextBox 21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1999" name="TextBox 21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00" name="TextBox 21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01" name="TextBox 22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02" name="TextBox 22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03" name="TextBox 22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04" name="TextBox 22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2005" name="TextBox 22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2006" name="TextBox 22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2007" name="TextBox 22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2008" name="TextBox 22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2009" name="TextBox 22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2010" name="TextBox 22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11" name="TextBox 22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12" name="TextBox 22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13" name="TextBox 22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14" name="TextBox 22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15" name="TextBox 22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16" name="TextBox 22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17" name="TextBox 22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18" name="TextBox 22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19" name="TextBox 22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20" name="TextBox 22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21" name="TextBox 22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22" name="TextBox 22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23" name="TextBox 22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24" name="TextBox 22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25" name="TextBox 22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26" name="TextBox 22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27" name="TextBox 22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28" name="TextBox 22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29" name="TextBox 22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30" name="TextBox 22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31" name="TextBox 22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32" name="TextBox 22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33" name="TextBox 22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34" name="TextBox 22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2035" name="TextBox 22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2036" name="TextBox 22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2037" name="TextBox 22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2038" name="TextBox 22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2039" name="TextBox 22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2040" name="TextBox 22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41" name="TextBox 22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42" name="TextBox 22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43" name="TextBox 22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44" name="TextBox 22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45" name="TextBox 22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46" name="TextBox 22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47" name="TextBox 22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48" name="TextBox 22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49" name="TextBox 22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50" name="TextBox 22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51" name="TextBox 22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52" name="TextBox 22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53" name="TextBox 22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54" name="TextBox 22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55" name="TextBox 22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56" name="TextBox 22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57" name="TextBox 22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58" name="TextBox 22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59" name="TextBox 22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60" name="TextBox 22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61" name="TextBox 22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62" name="TextBox 22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63" name="TextBox 22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64" name="TextBox 22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65" name="TextBox 22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66" name="TextBox 22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67" name="TextBox 22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68" name="TextBox 22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69" name="TextBox 22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70" name="TextBox 22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71" name="TextBox 22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72" name="TextBox 22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73" name="TextBox 22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74" name="TextBox 22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75" name="TextBox 22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76" name="TextBox 22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77" name="TextBox 22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78" name="TextBox 22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79" name="TextBox 22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80" name="TextBox 22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81" name="TextBox 22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82" name="TextBox 22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83" name="TextBox 22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84" name="TextBox 22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85" name="TextBox 22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86" name="TextBox 22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87" name="TextBox 22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88" name="TextBox 22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89" name="TextBox 22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90" name="TextBox 22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91" name="TextBox 22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92" name="TextBox 22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93" name="TextBox 22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094" name="TextBox 22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95" name="TextBox 22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96" name="TextBox 22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97" name="TextBox 22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98" name="TextBox 22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099" name="TextBox 22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100" name="TextBox 22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01" name="TextBox 22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02" name="TextBox 22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03" name="TextBox 22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04" name="TextBox 22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05" name="TextBox 22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06" name="TextBox 22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07" name="TextBox 22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08" name="TextBox 22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09" name="TextBox 22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10" name="TextBox 22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11" name="TextBox 22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12" name="TextBox 22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13" name="TextBox 22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14" name="TextBox 22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15" name="TextBox 22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16" name="TextBox 22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17" name="TextBox 22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18" name="TextBox 22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19" name="TextBox 22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20" name="TextBox 22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21" name="TextBox 22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22" name="TextBox 22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23" name="TextBox 22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24" name="TextBox 22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125" name="TextBox 22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126" name="TextBox 22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127" name="TextBox 22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128" name="TextBox 22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129" name="TextBox 22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130" name="TextBox 22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31" name="TextBox 22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32" name="TextBox 22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33" name="TextBox 22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34" name="TextBox 22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35" name="TextBox 22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36" name="TextBox 22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37" name="TextBox 22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38" name="TextBox 22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39" name="TextBox 22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40" name="TextBox 22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41" name="TextBox 22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42" name="TextBox 22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43" name="TextBox 22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44" name="TextBox 22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45" name="TextBox 22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46" name="TextBox 22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47" name="TextBox 22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48" name="TextBox 22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49" name="TextBox 22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50" name="TextBox 22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51" name="TextBox 22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52" name="TextBox 22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53" name="TextBox 22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54" name="TextBox 22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55" name="TextBox 22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56" name="TextBox 22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57" name="TextBox 22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58" name="TextBox 22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59" name="TextBox 22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60" name="TextBox 22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61" name="TextBox 22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62" name="TextBox 22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63" name="TextBox 22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64" name="TextBox 22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65" name="TextBox 22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66" name="TextBox 22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67" name="TextBox 22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68" name="TextBox 22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69" name="TextBox 22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70" name="TextBox 22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71" name="TextBox 22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72" name="TextBox 22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73" name="TextBox 22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74" name="TextBox 22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75" name="TextBox 22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76" name="TextBox 22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77" name="TextBox 22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78" name="TextBox 22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79" name="TextBox 22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80" name="TextBox 22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81" name="TextBox 22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82" name="TextBox 22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83" name="TextBox 22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84" name="TextBox 22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85" name="TextBox 22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86" name="TextBox 22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87" name="TextBox 22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88" name="TextBox 22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89" name="TextBox 22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190" name="TextBox 22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91" name="TextBox 22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92" name="TextBox 22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93" name="TextBox 22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94" name="TextBox 22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95" name="TextBox 22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96" name="TextBox 22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97" name="TextBox 22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98" name="TextBox 22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199" name="TextBox 22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00" name="TextBox 22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01" name="TextBox 22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02" name="TextBox 22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03" name="TextBox 22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04" name="TextBox 22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05" name="TextBox 22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06" name="TextBox 22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07" name="TextBox 22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08" name="TextBox 22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09" name="TextBox 22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10" name="TextBox 22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11" name="TextBox 22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12" name="TextBox 22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13" name="TextBox 22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14" name="TextBox 22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215" name="TextBox 22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216" name="TextBox 22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217" name="TextBox 22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218" name="TextBox 22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219" name="TextBox 22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220" name="TextBox 22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21" name="TextBox 22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22" name="TextBox 22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23" name="TextBox 22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24" name="TextBox 22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25" name="TextBox 22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26" name="TextBox 22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27" name="TextBox 22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28" name="TextBox 22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29" name="TextBox 22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30" name="TextBox 22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31" name="TextBox 22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32" name="TextBox 22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33" name="TextBox 22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34" name="TextBox 22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35" name="TextBox 22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36" name="TextBox 22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37" name="TextBox 22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38" name="TextBox 22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39" name="TextBox 22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40" name="TextBox 22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41" name="TextBox 22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42" name="TextBox 22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43" name="TextBox 22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44" name="TextBox 22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245" name="TextBox 22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246" name="TextBox 22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247" name="TextBox 22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248" name="TextBox 22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249" name="TextBox 22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250" name="TextBox 22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51" name="TextBox 22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52" name="TextBox 22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53" name="TextBox 22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54" name="TextBox 22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55" name="TextBox 22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56" name="TextBox 22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57" name="TextBox 22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58" name="TextBox 22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59" name="TextBox 22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60" name="TextBox 22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61" name="TextBox 22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62" name="TextBox 22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63" name="TextBox 22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64" name="TextBox 22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65" name="TextBox 22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66" name="TextBox 22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67" name="TextBox 22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68" name="TextBox 22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69" name="TextBox 22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70" name="TextBox 22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71" name="TextBox 22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72" name="TextBox 22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73" name="TextBox 22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74" name="TextBox 22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75" name="TextBox 22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76" name="TextBox 22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77" name="TextBox 22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78" name="TextBox 22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79" name="TextBox 22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80" name="TextBox 22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81" name="TextBox 22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82" name="TextBox 22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83" name="TextBox 22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84" name="TextBox 22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85" name="TextBox 22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286" name="TextBox 22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2287" name="TextBox 22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2288" name="TextBox 22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2289" name="TextBox 22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2290" name="TextBox 22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2291" name="TextBox 22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2292" name="TextBox 22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293" name="TextBox 22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294" name="TextBox 22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295" name="TextBox 22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296" name="TextBox 22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297" name="TextBox 22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298" name="TextBox 22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299" name="TextBox 22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300" name="TextBox 22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301" name="TextBox 22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302" name="TextBox 22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303" name="TextBox 22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304" name="TextBox 22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305" name="TextBox 22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306" name="TextBox 22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307" name="TextBox 22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308" name="TextBox 22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309" name="TextBox 22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310" name="TextBox 22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11" name="TextBox 22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12" name="TextBox 22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13" name="TextBox 22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14" name="TextBox 22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15" name="TextBox 22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16" name="TextBox 22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17" name="TextBox 22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18" name="TextBox 22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19" name="TextBox 22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20" name="TextBox 22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21" name="TextBox 22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22" name="TextBox 22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323" name="TextBox 22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324" name="TextBox 22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325" name="TextBox 22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326" name="TextBox 22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327" name="TextBox 22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328" name="TextBox 22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29" name="TextBox 22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30" name="TextBox 22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31" name="TextBox 22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32" name="TextBox 22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33" name="TextBox 22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34" name="TextBox 22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35" name="TextBox 22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36" name="TextBox 22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37" name="TextBox 22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38" name="TextBox 22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39" name="TextBox 22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40" name="TextBox 22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41" name="TextBox 22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42" name="TextBox 22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43" name="TextBox 22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44" name="TextBox 22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45" name="TextBox 22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46" name="TextBox 22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347" name="TextBox 22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348" name="TextBox 22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349" name="TextBox 22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350" name="TextBox 22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351" name="TextBox 22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352" name="TextBox 22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53" name="TextBox 22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54" name="TextBox 22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55" name="TextBox 22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56" name="TextBox 22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57" name="TextBox 22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58" name="TextBox 22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59" name="TextBox 22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60" name="TextBox 22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61" name="TextBox 22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62" name="TextBox 22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63" name="TextBox 22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64" name="TextBox 22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65" name="TextBox 22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66" name="TextBox 22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67" name="TextBox 22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68" name="TextBox 22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69" name="TextBox 22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70" name="TextBox 22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71" name="TextBox 22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72" name="TextBox 22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73" name="TextBox 22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74" name="TextBox 22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75" name="TextBox 22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76" name="TextBox 22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377" name="TextBox 22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378" name="TextBox 22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379" name="TextBox 22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380" name="TextBox 22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381" name="TextBox 22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382" name="TextBox 22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383" name="TextBox 22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384" name="TextBox 22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385" name="TextBox 22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386" name="TextBox 22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387" name="TextBox 22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388" name="TextBox 22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89" name="TextBox 22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90" name="TextBox 22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91" name="TextBox 22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92" name="TextBox 22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93" name="TextBox 22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94" name="TextBox 22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95" name="TextBox 22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96" name="TextBox 22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97" name="TextBox 22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98" name="TextBox 22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399" name="TextBox 22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400" name="TextBox 22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01" name="TextBox 22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02" name="TextBox 22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03" name="TextBox 22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04" name="TextBox 22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05" name="TextBox 22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06" name="TextBox 22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07" name="TextBox 22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08" name="TextBox 22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09" name="TextBox 22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10" name="TextBox 22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11" name="TextBox 22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12" name="TextBox 22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413" name="TextBox 22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414" name="TextBox 22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415" name="TextBox 22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416" name="TextBox 22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417" name="TextBox 22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418" name="TextBox 22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19" name="TextBox 22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20" name="TextBox 22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21" name="TextBox 22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22" name="TextBox 22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23" name="TextBox 22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24" name="TextBox 22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25" name="TextBox 22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26" name="TextBox 22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27" name="TextBox 22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28" name="TextBox 22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29" name="TextBox 22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30" name="TextBox 22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31" name="TextBox 22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32" name="TextBox 22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33" name="TextBox 22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34" name="TextBox 22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35" name="TextBox 22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36" name="TextBox 22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437" name="TextBox 22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438" name="TextBox 22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439" name="TextBox 22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440" name="TextBox 22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441" name="TextBox 22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442" name="TextBox 22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43" name="TextBox 22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44" name="TextBox 22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45" name="TextBox 22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46" name="TextBox 22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47" name="TextBox 22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48" name="TextBox 22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49" name="TextBox 22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50" name="TextBox 22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51" name="TextBox 22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52" name="TextBox 22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53" name="TextBox 22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54" name="TextBox 22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55" name="TextBox 22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56" name="TextBox 22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57" name="TextBox 22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58" name="TextBox 22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59" name="TextBox 22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60" name="TextBox 22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61" name="TextBox 22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62" name="TextBox 22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63" name="TextBox 22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64" name="TextBox 22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65" name="TextBox 22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66" name="TextBox 22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467" name="TextBox 22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468" name="TextBox 22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469" name="TextBox 22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470" name="TextBox 22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471" name="TextBox 22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472" name="TextBox 22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73" name="TextBox 22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74" name="TextBox 22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75" name="TextBox 22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76" name="TextBox 22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77" name="TextBox 22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78" name="TextBox 22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79" name="TextBox 22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80" name="TextBox 22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81" name="TextBox 22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82" name="TextBox 22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83" name="TextBox 22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84" name="TextBox 22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85" name="TextBox 22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86" name="TextBox 22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87" name="TextBox 22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88" name="TextBox 22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89" name="TextBox 22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90" name="TextBox 22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91" name="TextBox 22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92" name="TextBox 22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93" name="TextBox 22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94" name="TextBox 22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95" name="TextBox 22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96" name="TextBox 22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97" name="TextBox 22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98" name="TextBox 22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499" name="TextBox 22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00" name="TextBox 22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01" name="TextBox 22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02" name="TextBox 22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03" name="TextBox 22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04" name="TextBox 22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05" name="TextBox 22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06" name="TextBox 22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07" name="TextBox 22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08" name="TextBox 22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509" name="TextBox 22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510" name="TextBox 22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511" name="TextBox 22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512" name="TextBox 22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513" name="TextBox 22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514" name="TextBox 22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15" name="TextBox 22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16" name="TextBox 22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17" name="TextBox 22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18" name="TextBox 22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19" name="TextBox 22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20" name="TextBox 22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21" name="TextBox 22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22" name="TextBox 22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23" name="TextBox 22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24" name="TextBox 22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25" name="TextBox 22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26" name="TextBox 22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27" name="TextBox 22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28" name="TextBox 22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29" name="TextBox 22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30" name="TextBox 22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31" name="TextBox 22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32" name="TextBox 22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33" name="TextBox 22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34" name="TextBox 22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35" name="TextBox 22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36" name="TextBox 22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37" name="TextBox 22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38" name="TextBox 22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39" name="TextBox 22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40" name="TextBox 22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41" name="TextBox 22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42" name="TextBox 22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43" name="TextBox 22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44" name="TextBox 22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45" name="TextBox 22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46" name="TextBox 22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47" name="TextBox 22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48" name="TextBox 22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49" name="TextBox 22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50" name="TextBox 22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51" name="TextBox 22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52" name="TextBox 22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53" name="TextBox 22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54" name="TextBox 22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55" name="TextBox 22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56" name="TextBox 22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57" name="TextBox 22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58" name="TextBox 22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59" name="TextBox 22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60" name="TextBox 22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61" name="TextBox 22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62" name="TextBox 22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63" name="TextBox 22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64" name="TextBox 22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65" name="TextBox 22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66" name="TextBox 22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67" name="TextBox 22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68" name="TextBox 22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69" name="TextBox 22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70" name="TextBox 22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71" name="TextBox 22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72" name="TextBox 22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73" name="TextBox 22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74" name="TextBox 22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75" name="TextBox 22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76" name="TextBox 22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77" name="TextBox 22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78" name="TextBox 22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79" name="TextBox 22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80" name="TextBox 22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81" name="TextBox 22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82" name="TextBox 22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83" name="TextBox 22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84" name="TextBox 22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85" name="TextBox 22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86" name="TextBox 22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87" name="TextBox 22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88" name="TextBox 22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89" name="TextBox 22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90" name="TextBox 22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91" name="TextBox 22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92" name="TextBox 22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93" name="TextBox 22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94" name="TextBox 22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95" name="TextBox 22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96" name="TextBox 22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97" name="TextBox 22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598" name="TextBox 22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599" name="TextBox 22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600" name="TextBox 22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601" name="TextBox 22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602" name="TextBox 22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603" name="TextBox 22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604" name="TextBox 22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05" name="TextBox 22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06" name="TextBox 22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07" name="TextBox 22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08" name="TextBox 22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09" name="TextBox 22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10" name="TextBox 22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11" name="TextBox 22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12" name="TextBox 22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13" name="TextBox 22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14" name="TextBox 22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15" name="TextBox 22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16" name="TextBox 22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17" name="TextBox 22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18" name="TextBox 22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19" name="TextBox 22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20" name="TextBox 22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21" name="TextBox 22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22" name="TextBox 22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23" name="TextBox 22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24" name="TextBox 22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25" name="TextBox 22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26" name="TextBox 22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27" name="TextBox 22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28" name="TextBox 22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29" name="TextBox 22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30" name="TextBox 22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31" name="TextBox 22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32" name="TextBox 22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33" name="TextBox 22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34" name="TextBox 22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635" name="TextBox 22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636" name="TextBox 22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637" name="TextBox 22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638" name="TextBox 22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639" name="TextBox 22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640" name="TextBox 22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41" name="TextBox 22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42" name="TextBox 22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43" name="TextBox 22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44" name="TextBox 22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45" name="TextBox 22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46" name="TextBox 22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47" name="TextBox 22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48" name="TextBox 22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49" name="TextBox 22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50" name="TextBox 22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51" name="TextBox 22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52" name="TextBox 22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53" name="TextBox 22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54" name="TextBox 22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55" name="TextBox 22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56" name="TextBox 22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57" name="TextBox 22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58" name="TextBox 22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59" name="TextBox 22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60" name="TextBox 22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61" name="TextBox 22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62" name="TextBox 22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63" name="TextBox 22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64" name="TextBox 22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65" name="TextBox 22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66" name="TextBox 22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67" name="TextBox 22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68" name="TextBox 22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69" name="TextBox 22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70" name="TextBox 22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671" name="TextBox 22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672" name="TextBox 22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673" name="TextBox 22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674" name="TextBox 22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675" name="TextBox 22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676" name="TextBox 22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77" name="TextBox 22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78" name="TextBox 22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79" name="TextBox 22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80" name="TextBox 22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81" name="TextBox 22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82" name="TextBox 22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83" name="TextBox 22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84" name="TextBox 22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85" name="TextBox 22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86" name="TextBox 22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87" name="TextBox 22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88" name="TextBox 22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89" name="TextBox 22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90" name="TextBox 22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91" name="TextBox 22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92" name="TextBox 22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93" name="TextBox 22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94" name="TextBox 22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95" name="TextBox 22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96" name="TextBox 22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97" name="TextBox 22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98" name="TextBox 22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699" name="TextBox 22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700" name="TextBox 22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701" name="TextBox 22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702" name="TextBox 22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703" name="TextBox 22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704" name="TextBox 22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705" name="TextBox 22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706" name="TextBox 22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707" name="TextBox 22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708" name="TextBox 22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709" name="TextBox 22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710" name="TextBox 22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711" name="TextBox 22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712" name="TextBox 22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713" name="TextBox 22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714" name="TextBox 22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715" name="TextBox 22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716" name="TextBox 22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717" name="TextBox 22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718" name="TextBox 22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2719" name="TextBox 22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2720" name="TextBox 22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2721" name="TextBox 22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2722" name="TextBox 22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2723" name="TextBox 22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2724" name="TextBox 22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25" name="TextBox 22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26" name="TextBox 22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27" name="TextBox 22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28" name="TextBox 22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29" name="TextBox 22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30" name="TextBox 22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731" name="TextBox 22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732" name="TextBox 22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733" name="TextBox 22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734" name="TextBox 22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735" name="TextBox 22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736" name="TextBox 22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737" name="TextBox 22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738" name="TextBox 22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739" name="TextBox 22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740" name="TextBox 22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741" name="TextBox 22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742" name="TextBox 22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43" name="TextBox 22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44" name="TextBox 22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45" name="TextBox 22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46" name="TextBox 22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47" name="TextBox 22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48" name="TextBox 22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49" name="TextBox 22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50" name="TextBox 22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51" name="TextBox 22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52" name="TextBox 22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53" name="TextBox 22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54" name="TextBox 22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755" name="TextBox 22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756" name="TextBox 22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757" name="TextBox 22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758" name="TextBox 22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759" name="TextBox 22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760" name="TextBox 22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61" name="TextBox 22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62" name="TextBox 22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63" name="TextBox 22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64" name="TextBox 22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65" name="TextBox 22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66" name="TextBox 22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67" name="TextBox 22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68" name="TextBox 22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69" name="TextBox 22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70" name="TextBox 22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71" name="TextBox 22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72" name="TextBox 22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73" name="TextBox 22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74" name="TextBox 22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75" name="TextBox 22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76" name="TextBox 22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77" name="TextBox 22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78" name="TextBox 22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779" name="TextBox 22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780" name="TextBox 22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781" name="TextBox 22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782" name="TextBox 22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783" name="TextBox 22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784" name="TextBox 22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85" name="TextBox 22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86" name="TextBox 22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87" name="TextBox 22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88" name="TextBox 22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89" name="TextBox 22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90" name="TextBox 22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91" name="TextBox 22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92" name="TextBox 22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93" name="TextBox 22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94" name="TextBox 22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95" name="TextBox 22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96" name="TextBox 22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97" name="TextBox 22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98" name="TextBox 22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799" name="TextBox 22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00" name="TextBox 22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01" name="TextBox 22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02" name="TextBox 22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03" name="TextBox 22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04" name="TextBox 22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05" name="TextBox 22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06" name="TextBox 22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07" name="TextBox 22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08" name="TextBox 22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809" name="TextBox 22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810" name="TextBox 22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811" name="TextBox 22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812" name="TextBox 22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813" name="TextBox 22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814" name="TextBox 22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15" name="TextBox 22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16" name="TextBox 22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17" name="TextBox 22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18" name="TextBox 22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19" name="TextBox 22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20" name="TextBox 22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21" name="TextBox 22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22" name="TextBox 22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23" name="TextBox 22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24" name="TextBox 22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25" name="TextBox 22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26" name="TextBox 22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27" name="TextBox 22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28" name="TextBox 22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29" name="TextBox 22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30" name="TextBox 22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31" name="TextBox 22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32" name="TextBox 22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33" name="TextBox 22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34" name="TextBox 22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35" name="TextBox 22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36" name="TextBox 22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37" name="TextBox 22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38" name="TextBox 22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39" name="TextBox 22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40" name="TextBox 22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41" name="TextBox 22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42" name="TextBox 22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43" name="TextBox 22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44" name="TextBox 22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45" name="TextBox 22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46" name="TextBox 22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47" name="TextBox 22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48" name="TextBox 22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49" name="TextBox 22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50" name="TextBox 22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51" name="TextBox 22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52" name="TextBox 22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53" name="TextBox 22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54" name="TextBox 22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55" name="TextBox 22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56" name="TextBox 22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57" name="TextBox 22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58" name="TextBox 22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59" name="TextBox 22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60" name="TextBox 22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61" name="TextBox 22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62" name="TextBox 22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63" name="TextBox 22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64" name="TextBox 22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65" name="TextBox 22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66" name="TextBox 22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67" name="TextBox 22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68" name="TextBox 22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69" name="TextBox 22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70" name="TextBox 22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71" name="TextBox 22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72" name="TextBox 22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73" name="TextBox 22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74" name="TextBox 22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75" name="TextBox 22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76" name="TextBox 22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77" name="TextBox 22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78" name="TextBox 22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79" name="TextBox 22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80" name="TextBox 22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81" name="TextBox 22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82" name="TextBox 22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83" name="TextBox 22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84" name="TextBox 22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85" name="TextBox 22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86" name="TextBox 22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87" name="TextBox 22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88" name="TextBox 22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89" name="TextBox 22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90" name="TextBox 22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91" name="TextBox 22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92" name="TextBox 22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93" name="TextBox 22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94" name="TextBox 22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95" name="TextBox 22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96" name="TextBox 22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97" name="TextBox 22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898" name="TextBox 22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899" name="TextBox 22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00" name="TextBox 22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01" name="TextBox 22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02" name="TextBox 22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03" name="TextBox 22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04" name="TextBox 22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05" name="TextBox 22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06" name="TextBox 22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07" name="TextBox 22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08" name="TextBox 22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09" name="TextBox 22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10" name="TextBox 22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11" name="TextBox 22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12" name="TextBox 22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13" name="TextBox 22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14" name="TextBox 22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15" name="TextBox 22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16" name="TextBox 22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17" name="TextBox 22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18" name="TextBox 22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19" name="TextBox 22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20" name="TextBox 22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21" name="TextBox 22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22" name="TextBox 22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23" name="TextBox 22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24" name="TextBox 22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25" name="TextBox 22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26" name="TextBox 22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27" name="TextBox 22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28" name="TextBox 22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29" name="TextBox 22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30" name="TextBox 22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31" name="TextBox 22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32" name="TextBox 22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33" name="TextBox 22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34" name="TextBox 22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35" name="TextBox 22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36" name="TextBox 22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37" name="TextBox 22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38" name="TextBox 22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39" name="TextBox 22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40" name="TextBox 22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941" name="TextBox 22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942" name="TextBox 22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943" name="TextBox 22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944" name="TextBox 22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945" name="TextBox 22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2946" name="TextBox 22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47" name="TextBox 22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48" name="TextBox 22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49" name="TextBox 22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50" name="TextBox 22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51" name="TextBox 22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52" name="TextBox 22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53" name="TextBox 22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54" name="TextBox 22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55" name="TextBox 22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56" name="TextBox 22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57" name="TextBox 22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58" name="TextBox 22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59" name="TextBox 22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60" name="TextBox 22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61" name="TextBox 22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62" name="TextBox 22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63" name="TextBox 22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64" name="TextBox 22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65" name="TextBox 22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66" name="TextBox 22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67" name="TextBox 22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68" name="TextBox 22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69" name="TextBox 22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70" name="TextBox 22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71" name="TextBox 22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72" name="TextBox 22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73" name="TextBox 22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74" name="TextBox 22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75" name="TextBox 22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76" name="TextBox 22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77" name="TextBox 22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78" name="TextBox 22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79" name="TextBox 22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80" name="TextBox 22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81" name="TextBox 22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2982" name="TextBox 22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83" name="TextBox 22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84" name="TextBox 22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85" name="TextBox 22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86" name="TextBox 22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87" name="TextBox 22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88" name="TextBox 22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89" name="TextBox 22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90" name="TextBox 22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91" name="TextBox 22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92" name="TextBox 22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93" name="TextBox 22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94" name="TextBox 22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95" name="TextBox 22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96" name="TextBox 22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97" name="TextBox 22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98" name="TextBox 22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2999" name="TextBox 22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00" name="TextBox 22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001" name="TextBox 23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002" name="TextBox 23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003" name="TextBox 23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004" name="TextBox 23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005" name="TextBox 23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006" name="TextBox 23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07" name="TextBox 23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08" name="TextBox 23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09" name="TextBox 23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10" name="TextBox 23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11" name="TextBox 23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12" name="TextBox 23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13" name="TextBox 23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14" name="TextBox 23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15" name="TextBox 23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16" name="TextBox 23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17" name="TextBox 23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18" name="TextBox 23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19" name="TextBox 23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20" name="TextBox 23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21" name="TextBox 23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22" name="TextBox 23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23" name="TextBox 23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24" name="TextBox 23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25" name="TextBox 23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26" name="TextBox 23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27" name="TextBox 23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28" name="TextBox 23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29" name="TextBox 23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30" name="TextBox 23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031" name="TextBox 23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032" name="TextBox 23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033" name="TextBox 23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034" name="TextBox 23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035" name="TextBox 23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036" name="TextBox 23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37" name="TextBox 23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38" name="TextBox 23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39" name="TextBox 23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40" name="TextBox 23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41" name="TextBox 23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42" name="TextBox 23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43" name="TextBox 23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44" name="TextBox 23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45" name="TextBox 23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46" name="TextBox 23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47" name="TextBox 23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48" name="TextBox 23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49" name="TextBox 23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50" name="TextBox 23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51" name="TextBox 23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52" name="TextBox 23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53" name="TextBox 23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54" name="TextBox 23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55" name="TextBox 23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56" name="TextBox 23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57" name="TextBox 23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58" name="TextBox 23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59" name="TextBox 23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60" name="TextBox 23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61" name="TextBox 23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62" name="TextBox 23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63" name="TextBox 23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64" name="TextBox 23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65" name="TextBox 23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66" name="TextBox 23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067" name="TextBox 23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068" name="TextBox 23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069" name="TextBox 23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070" name="TextBox 23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071" name="TextBox 23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072" name="TextBox 23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73" name="TextBox 23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74" name="TextBox 23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75" name="TextBox 23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76" name="TextBox 23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77" name="TextBox 23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78" name="TextBox 23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79" name="TextBox 23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80" name="TextBox 23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81" name="TextBox 23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82" name="TextBox 23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83" name="TextBox 23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84" name="TextBox 23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85" name="TextBox 23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86" name="TextBox 23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87" name="TextBox 23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88" name="TextBox 23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89" name="TextBox 23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90" name="TextBox 23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91" name="TextBox 23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92" name="TextBox 23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93" name="TextBox 23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94" name="TextBox 23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95" name="TextBox 23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96" name="TextBox 23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97" name="TextBox 23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98" name="TextBox 23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099" name="TextBox 23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00" name="TextBox 23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01" name="TextBox 23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02" name="TextBox 23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03" name="TextBox 23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04" name="TextBox 23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05" name="TextBox 23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06" name="TextBox 23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07" name="TextBox 23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08" name="TextBox 23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09" name="TextBox 23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10" name="TextBox 23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11" name="TextBox 23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12" name="TextBox 23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13" name="TextBox 23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14" name="TextBox 23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115" name="TextBox 23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116" name="TextBox 23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117" name="TextBox 23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118" name="TextBox 23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119" name="TextBox 23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120" name="TextBox 23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21" name="TextBox 23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22" name="TextBox 23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23" name="TextBox 23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24" name="TextBox 23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25" name="TextBox 23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26" name="TextBox 23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127" name="TextBox 23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128" name="TextBox 23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129" name="TextBox 23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130" name="TextBox 23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131" name="TextBox 23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132" name="TextBox 23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133" name="TextBox 23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134" name="TextBox 23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135" name="TextBox 23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136" name="TextBox 23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137" name="TextBox 23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138" name="TextBox 23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39" name="TextBox 23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40" name="TextBox 23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41" name="TextBox 23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42" name="TextBox 23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43" name="TextBox 23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44" name="TextBox 23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45" name="TextBox 23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46" name="TextBox 23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47" name="TextBox 23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48" name="TextBox 23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49" name="TextBox 23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50" name="TextBox 23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151" name="TextBox 23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152" name="TextBox 23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153" name="TextBox 23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154" name="TextBox 23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155" name="TextBox 23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156" name="TextBox 23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57" name="TextBox 23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58" name="TextBox 23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59" name="TextBox 23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60" name="TextBox 23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61" name="TextBox 23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62" name="TextBox 23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63" name="TextBox 23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64" name="TextBox 23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65" name="TextBox 23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66" name="TextBox 23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67" name="TextBox 23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68" name="TextBox 23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69" name="TextBox 23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70" name="TextBox 23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71" name="TextBox 23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72" name="TextBox 23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73" name="TextBox 23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74" name="TextBox 23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175" name="TextBox 23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176" name="TextBox 23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177" name="TextBox 23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178" name="TextBox 23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179" name="TextBox 23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180" name="TextBox 23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81" name="TextBox 23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82" name="TextBox 23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83" name="TextBox 23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84" name="TextBox 23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85" name="TextBox 23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86" name="TextBox 23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87" name="TextBox 23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88" name="TextBox 23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89" name="TextBox 23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90" name="TextBox 23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91" name="TextBox 23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92" name="TextBox 23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93" name="TextBox 23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94" name="TextBox 23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95" name="TextBox 23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96" name="TextBox 23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97" name="TextBox 23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98" name="TextBox 23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199" name="TextBox 23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00" name="TextBox 23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01" name="TextBox 23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02" name="TextBox 23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03" name="TextBox 23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04" name="TextBox 23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205" name="TextBox 23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206" name="TextBox 23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207" name="TextBox 23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208" name="TextBox 23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209" name="TextBox 23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210" name="TextBox 23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11" name="TextBox 23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12" name="TextBox 23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13" name="TextBox 23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14" name="TextBox 23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15" name="TextBox 23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16" name="TextBox 23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17" name="TextBox 23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18" name="TextBox 23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19" name="TextBox 23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20" name="TextBox 23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21" name="TextBox 23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22" name="TextBox 23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23" name="TextBox 23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24" name="TextBox 23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25" name="TextBox 23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26" name="TextBox 23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27" name="TextBox 23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28" name="TextBox 23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29" name="TextBox 23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30" name="TextBox 23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31" name="TextBox 23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32" name="TextBox 23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33" name="TextBox 23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34" name="TextBox 23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35" name="TextBox 23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36" name="TextBox 23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37" name="TextBox 23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38" name="TextBox 23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39" name="TextBox 23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40" name="TextBox 23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241" name="TextBox 23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242" name="TextBox 23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243" name="TextBox 23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244" name="TextBox 23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245" name="TextBox 23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246" name="TextBox 23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47" name="TextBox 23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48" name="TextBox 23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49" name="TextBox 23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50" name="TextBox 23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51" name="TextBox 23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52" name="TextBox 23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53" name="TextBox 23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54" name="TextBox 23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55" name="TextBox 23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56" name="TextBox 23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57" name="TextBox 23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58" name="TextBox 23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59" name="TextBox 23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60" name="TextBox 23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61" name="TextBox 23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62" name="TextBox 23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63" name="TextBox 23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64" name="TextBox 23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65" name="TextBox 23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66" name="TextBox 23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67" name="TextBox 23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68" name="TextBox 23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69" name="TextBox 23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70" name="TextBox 23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71" name="TextBox 23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72" name="TextBox 23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73" name="TextBox 23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74" name="TextBox 23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75" name="TextBox 23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76" name="TextBox 23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77" name="TextBox 23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78" name="TextBox 23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79" name="TextBox 23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80" name="TextBox 23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81" name="TextBox 23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82" name="TextBox 23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283" name="TextBox 23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284" name="TextBox 23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285" name="TextBox 23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286" name="TextBox 23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287" name="TextBox 23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288" name="TextBox 23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89" name="TextBox 23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90" name="TextBox 23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91" name="TextBox 23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92" name="TextBox 23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93" name="TextBox 23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94" name="TextBox 23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95" name="TextBox 23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96" name="TextBox 23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97" name="TextBox 23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98" name="TextBox 23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299" name="TextBox 23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00" name="TextBox 23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01" name="TextBox 23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02" name="TextBox 23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03" name="TextBox 23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04" name="TextBox 23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05" name="TextBox 23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06" name="TextBox 23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07" name="TextBox 23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08" name="TextBox 23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09" name="TextBox 23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10" name="TextBox 23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11" name="TextBox 23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12" name="TextBox 23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13" name="TextBox 23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14" name="TextBox 23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15" name="TextBox 23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16" name="TextBox 23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17" name="TextBox 23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18" name="TextBox 23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19" name="TextBox 23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20" name="TextBox 23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21" name="TextBox 23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22" name="TextBox 23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23" name="TextBox 23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24" name="TextBox 23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325" name="TextBox 23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326" name="TextBox 23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327" name="TextBox 23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328" name="TextBox 23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329" name="TextBox 23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330" name="TextBox 23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31" name="TextBox 23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32" name="TextBox 23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33" name="TextBox 23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34" name="TextBox 23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35" name="TextBox 23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36" name="TextBox 23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37" name="TextBox 23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38" name="TextBox 23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39" name="TextBox 23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40" name="TextBox 23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41" name="TextBox 23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42" name="TextBox 23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43" name="TextBox 23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44" name="TextBox 23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45" name="TextBox 23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46" name="TextBox 23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47" name="TextBox 23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48" name="TextBox 23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49" name="TextBox 23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50" name="TextBox 23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51" name="TextBox 23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52" name="TextBox 23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53" name="TextBox 23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54" name="TextBox 23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55" name="TextBox 23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56" name="TextBox 23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57" name="TextBox 23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58" name="TextBox 23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59" name="TextBox 23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60" name="TextBox 23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61" name="TextBox 23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62" name="TextBox 23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63" name="TextBox 23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64" name="TextBox 23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65" name="TextBox 23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66" name="TextBox 23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67" name="TextBox 23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68" name="TextBox 23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69" name="TextBox 23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70" name="TextBox 23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71" name="TextBox 23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72" name="TextBox 23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73" name="TextBox 23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74" name="TextBox 23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75" name="TextBox 23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76" name="TextBox 23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77" name="TextBox 23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378" name="TextBox 23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3379" name="TextBox 23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3380" name="TextBox 23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3381" name="TextBox 23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3382" name="TextBox 23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3383" name="TextBox 23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3384" name="TextBox 23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385" name="TextBox 23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386" name="TextBox 23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387" name="TextBox 23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388" name="TextBox 23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389" name="TextBox 23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390" name="TextBox 23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391" name="TextBox 23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392" name="TextBox 23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393" name="TextBox 23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394" name="TextBox 23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395" name="TextBox 23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396" name="TextBox 23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397" name="TextBox 23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398" name="TextBox 23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399" name="TextBox 23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400" name="TextBox 23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401" name="TextBox 23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402" name="TextBox 23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03" name="TextBox 23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04" name="TextBox 23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05" name="TextBox 23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06" name="TextBox 23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07" name="TextBox 23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08" name="TextBox 23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09" name="TextBox 23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10" name="TextBox 23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11" name="TextBox 23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12" name="TextBox 23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13" name="TextBox 23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14" name="TextBox 23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415" name="TextBox 23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416" name="TextBox 23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417" name="TextBox 23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418" name="TextBox 23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419" name="TextBox 23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420" name="TextBox 23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21" name="TextBox 23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22" name="TextBox 23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23" name="TextBox 23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24" name="TextBox 23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25" name="TextBox 23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26" name="TextBox 23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27" name="TextBox 23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28" name="TextBox 23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29" name="TextBox 23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30" name="TextBox 23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31" name="TextBox 23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32" name="TextBox 23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33" name="TextBox 23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34" name="TextBox 23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35" name="TextBox 23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36" name="TextBox 23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37" name="TextBox 23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38" name="TextBox 23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439" name="TextBox 23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440" name="TextBox 23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441" name="TextBox 23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442" name="TextBox 23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443" name="TextBox 23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444" name="TextBox 23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45" name="TextBox 23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46" name="TextBox 23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47" name="TextBox 23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48" name="TextBox 23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49" name="TextBox 23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50" name="TextBox 23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51" name="TextBox 23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52" name="TextBox 23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53" name="TextBox 23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54" name="TextBox 23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55" name="TextBox 23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56" name="TextBox 23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57" name="TextBox 23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58" name="TextBox 23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59" name="TextBox 23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60" name="TextBox 23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61" name="TextBox 23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62" name="TextBox 23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63" name="TextBox 23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64" name="TextBox 23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65" name="TextBox 23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66" name="TextBox 23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67" name="TextBox 23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68" name="TextBox 23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469" name="TextBox 23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470" name="TextBox 23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471" name="TextBox 23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472" name="TextBox 23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473" name="TextBox 23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474" name="TextBox 23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475" name="TextBox 23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476" name="TextBox 23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477" name="TextBox 23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478" name="TextBox 23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479" name="TextBox 23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480" name="TextBox 23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81" name="TextBox 23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82" name="TextBox 23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83" name="TextBox 23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84" name="TextBox 23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85" name="TextBox 23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86" name="TextBox 23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87" name="TextBox 23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88" name="TextBox 23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89" name="TextBox 23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90" name="TextBox 23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91" name="TextBox 23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492" name="TextBox 23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493" name="TextBox 23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494" name="TextBox 23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495" name="TextBox 23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496" name="TextBox 23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497" name="TextBox 23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498" name="TextBox 23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499" name="TextBox 23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00" name="TextBox 23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01" name="TextBox 23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02" name="TextBox 23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03" name="TextBox 23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04" name="TextBox 23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505" name="TextBox 23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506" name="TextBox 23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507" name="TextBox 23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508" name="TextBox 23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509" name="TextBox 23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510" name="TextBox 23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11" name="TextBox 23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12" name="TextBox 23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13" name="TextBox 23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14" name="TextBox 23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15" name="TextBox 23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16" name="TextBox 23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17" name="TextBox 23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18" name="TextBox 23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19" name="TextBox 23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20" name="TextBox 23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21" name="TextBox 23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22" name="TextBox 23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23" name="TextBox 23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24" name="TextBox 23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25" name="TextBox 23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26" name="TextBox 23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27" name="TextBox 23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28" name="TextBox 23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529" name="TextBox 23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530" name="TextBox 23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531" name="TextBox 23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532" name="TextBox 23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533" name="TextBox 23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534" name="TextBox 23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35" name="TextBox 23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36" name="TextBox 23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37" name="TextBox 23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38" name="TextBox 23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39" name="TextBox 23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40" name="TextBox 23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41" name="TextBox 23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42" name="TextBox 23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43" name="TextBox 23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44" name="TextBox 23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45" name="TextBox 23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46" name="TextBox 23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47" name="TextBox 23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48" name="TextBox 23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49" name="TextBox 23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50" name="TextBox 23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51" name="TextBox 23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52" name="TextBox 23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53" name="TextBox 23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54" name="TextBox 23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55" name="TextBox 23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56" name="TextBox 23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57" name="TextBox 23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58" name="TextBox 23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559" name="TextBox 23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560" name="TextBox 23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561" name="TextBox 23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562" name="TextBox 23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563" name="TextBox 23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564" name="TextBox 23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565" name="TextBox 23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566" name="TextBox 23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567" name="TextBox 23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568" name="TextBox 23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569" name="TextBox 23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570" name="TextBox 23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71" name="TextBox 23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72" name="TextBox 23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73" name="TextBox 23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74" name="TextBox 23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75" name="TextBox 23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76" name="TextBox 23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77" name="TextBox 23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78" name="TextBox 23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79" name="TextBox 23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80" name="TextBox 23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81" name="TextBox 23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82" name="TextBox 23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583" name="TextBox 23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584" name="TextBox 23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585" name="TextBox 23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586" name="TextBox 23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587" name="TextBox 23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588" name="TextBox 23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589" name="TextBox 23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590" name="TextBox 23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591" name="TextBox 23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592" name="TextBox 23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593" name="TextBox 23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594" name="TextBox 23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95" name="TextBox 23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96" name="TextBox 23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97" name="TextBox 23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98" name="TextBox 23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599" name="TextBox 23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600" name="TextBox 23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01" name="TextBox 23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02" name="TextBox 23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03" name="TextBox 23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04" name="TextBox 23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05" name="TextBox 23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06" name="TextBox 23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07" name="TextBox 23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08" name="TextBox 23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09" name="TextBox 23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10" name="TextBox 23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11" name="TextBox 23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12" name="TextBox 23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13" name="TextBox 23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14" name="TextBox 23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15" name="TextBox 23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16" name="TextBox 23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17" name="TextBox 23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18" name="TextBox 23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619" name="TextBox 23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620" name="TextBox 23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621" name="TextBox 23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622" name="TextBox 23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623" name="TextBox 23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624" name="TextBox 23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25" name="TextBox 23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26" name="TextBox 23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27" name="TextBox 23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28" name="TextBox 23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29" name="TextBox 23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30" name="TextBox 23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31" name="TextBox 23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32" name="TextBox 23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33" name="TextBox 23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34" name="TextBox 23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35" name="TextBox 23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36" name="TextBox 23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37" name="TextBox 23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38" name="TextBox 23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39" name="TextBox 23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40" name="TextBox 23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41" name="TextBox 23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42" name="TextBox 23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43" name="TextBox 23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44" name="TextBox 23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45" name="TextBox 23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46" name="TextBox 23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47" name="TextBox 23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48" name="TextBox 23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649" name="TextBox 23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650" name="TextBox 23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651" name="TextBox 23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652" name="TextBox 23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653" name="TextBox 23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654" name="TextBox 23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55" name="TextBox 23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56" name="TextBox 23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57" name="TextBox 23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58" name="TextBox 23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59" name="TextBox 23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60" name="TextBox 23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61" name="TextBox 23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62" name="TextBox 23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63" name="TextBox 23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64" name="TextBox 23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65" name="TextBox 23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66" name="TextBox 23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67" name="TextBox 23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68" name="TextBox 23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69" name="TextBox 23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70" name="TextBox 23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71" name="TextBox 23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72" name="TextBox 23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73" name="TextBox 23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74" name="TextBox 23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75" name="TextBox 23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76" name="TextBox 23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77" name="TextBox 23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78" name="TextBox 23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679" name="TextBox 23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680" name="TextBox 23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681" name="TextBox 23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682" name="TextBox 23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683" name="TextBox 23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684" name="TextBox 23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85" name="TextBox 23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86" name="TextBox 23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87" name="TextBox 23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88" name="TextBox 23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89" name="TextBox 23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90" name="TextBox 23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91" name="TextBox 23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92" name="TextBox 23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93" name="TextBox 23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94" name="TextBox 23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95" name="TextBox 23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96" name="TextBox 23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97" name="TextBox 23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98" name="TextBox 23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699" name="TextBox 23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700" name="TextBox 23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701" name="TextBox 23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702" name="TextBox 23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703" name="TextBox 23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704" name="TextBox 23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705" name="TextBox 23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706" name="TextBox 23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707" name="TextBox 23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708" name="TextBox 23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709" name="TextBox 23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710" name="TextBox 23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711" name="TextBox 23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712" name="TextBox 23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713" name="TextBox 23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714" name="TextBox 23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715" name="TextBox 23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716" name="TextBox 23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717" name="TextBox 23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718" name="TextBox 23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719" name="TextBox 23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720" name="TextBox 23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721" name="TextBox 23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722" name="TextBox 23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723" name="TextBox 23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724" name="TextBox 23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725" name="TextBox 23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3726" name="TextBox 23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27" name="TextBox 23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28" name="TextBox 23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29" name="TextBox 23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30" name="TextBox 23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31" name="TextBox 23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32" name="TextBox 23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733" name="TextBox 23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734" name="TextBox 23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735" name="TextBox 23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736" name="TextBox 23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737" name="TextBox 23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738" name="TextBox 23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739" name="TextBox 23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740" name="TextBox 23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741" name="TextBox 23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742" name="TextBox 23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743" name="TextBox 23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744" name="TextBox 23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45" name="TextBox 23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46" name="TextBox 23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47" name="TextBox 23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48" name="TextBox 23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49" name="TextBox 23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50" name="TextBox 23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51" name="TextBox 23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52" name="TextBox 23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53" name="TextBox 23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54" name="TextBox 23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55" name="TextBox 23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56" name="TextBox 23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757" name="TextBox 23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758" name="TextBox 23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759" name="TextBox 23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760" name="TextBox 23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761" name="TextBox 23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762" name="TextBox 23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63" name="TextBox 23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64" name="TextBox 23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65" name="TextBox 23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66" name="TextBox 23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67" name="TextBox 23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68" name="TextBox 23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69" name="TextBox 23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70" name="TextBox 23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71" name="TextBox 23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72" name="TextBox 23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73" name="TextBox 23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74" name="TextBox 23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75" name="TextBox 23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76" name="TextBox 23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77" name="TextBox 23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78" name="TextBox 23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79" name="TextBox 23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80" name="TextBox 23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781" name="TextBox 23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782" name="TextBox 23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783" name="TextBox 23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784" name="TextBox 23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785" name="TextBox 23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786" name="TextBox 23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87" name="TextBox 23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88" name="TextBox 23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89" name="TextBox 23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90" name="TextBox 23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91" name="TextBox 23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92" name="TextBox 23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93" name="TextBox 23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94" name="TextBox 23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95" name="TextBox 23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96" name="TextBox 23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97" name="TextBox 23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98" name="TextBox 23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799" name="TextBox 23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00" name="TextBox 23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01" name="TextBox 23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02" name="TextBox 23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03" name="TextBox 23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04" name="TextBox 23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05" name="TextBox 23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06" name="TextBox 23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07" name="TextBox 23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08" name="TextBox 23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09" name="TextBox 23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10" name="TextBox 23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811" name="TextBox 23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812" name="TextBox 23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813" name="TextBox 23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814" name="TextBox 23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815" name="TextBox 23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816" name="TextBox 23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17" name="TextBox 23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18" name="TextBox 23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19" name="TextBox 23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20" name="TextBox 23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21" name="TextBox 23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22" name="TextBox 23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23" name="TextBox 23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24" name="TextBox 23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25" name="TextBox 23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26" name="TextBox 23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27" name="TextBox 23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28" name="TextBox 23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29" name="TextBox 23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30" name="TextBox 23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31" name="TextBox 23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32" name="TextBox 23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33" name="TextBox 23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34" name="TextBox 23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35" name="TextBox 23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36" name="TextBox 23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37" name="TextBox 23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38" name="TextBox 23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39" name="TextBox 23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40" name="TextBox 23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41" name="TextBox 23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42" name="TextBox 23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43" name="TextBox 23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44" name="TextBox 23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45" name="TextBox 23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46" name="TextBox 23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47" name="TextBox 23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48" name="TextBox 23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49" name="TextBox 23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50" name="TextBox 23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51" name="TextBox 23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52" name="TextBox 23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53" name="TextBox 23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54" name="TextBox 23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55" name="TextBox 23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56" name="TextBox 23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57" name="TextBox 23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58" name="TextBox 23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59" name="TextBox 23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60" name="TextBox 23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61" name="TextBox 23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62" name="TextBox 23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63" name="TextBox 23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64" name="TextBox 23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65" name="TextBox 23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66" name="TextBox 23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67" name="TextBox 23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68" name="TextBox 23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69" name="TextBox 23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70" name="TextBox 23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71" name="TextBox 23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72" name="TextBox 23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73" name="TextBox 23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74" name="TextBox 23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75" name="TextBox 23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876" name="TextBox 23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77" name="TextBox 23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78" name="TextBox 23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79" name="TextBox 23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80" name="TextBox 23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81" name="TextBox 23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82" name="TextBox 23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83" name="TextBox 23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84" name="TextBox 23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85" name="TextBox 23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86" name="TextBox 23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87" name="TextBox 23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88" name="TextBox 23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89" name="TextBox 23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90" name="TextBox 23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91" name="TextBox 23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92" name="TextBox 23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93" name="TextBox 23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94" name="TextBox 23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95" name="TextBox 23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96" name="TextBox 23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97" name="TextBox 23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98" name="TextBox 23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899" name="TextBox 23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00" name="TextBox 23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01" name="TextBox 23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02" name="TextBox 23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03" name="TextBox 23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04" name="TextBox 23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05" name="TextBox 23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06" name="TextBox 23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07" name="TextBox 23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08" name="TextBox 23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09" name="TextBox 23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10" name="TextBox 23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11" name="TextBox 23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12" name="TextBox 23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13" name="TextBox 23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14" name="TextBox 23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15" name="TextBox 23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16" name="TextBox 23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17" name="TextBox 23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18" name="TextBox 23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19" name="TextBox 23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20" name="TextBox 23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21" name="TextBox 23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22" name="TextBox 23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23" name="TextBox 23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24" name="TextBox 23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25" name="TextBox 23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26" name="TextBox 23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27" name="TextBox 23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28" name="TextBox 23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29" name="TextBox 23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30" name="TextBox 23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31" name="TextBox 23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32" name="TextBox 23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33" name="TextBox 23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34" name="TextBox 23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35" name="TextBox 23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36" name="TextBox 23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37" name="TextBox 23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38" name="TextBox 23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39" name="TextBox 23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40" name="TextBox 23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41" name="TextBox 23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42" name="TextBox 23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943" name="TextBox 23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944" name="TextBox 23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945" name="TextBox 23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946" name="TextBox 23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947" name="TextBox 23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3948" name="TextBox 23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49" name="TextBox 23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50" name="TextBox 23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51" name="TextBox 23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52" name="TextBox 23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53" name="TextBox 23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54" name="TextBox 23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55" name="TextBox 23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56" name="TextBox 23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57" name="TextBox 23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58" name="TextBox 23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59" name="TextBox 23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60" name="TextBox 23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61" name="TextBox 23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62" name="TextBox 23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63" name="TextBox 23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64" name="TextBox 23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65" name="TextBox 23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66" name="TextBox 23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67" name="TextBox 23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68" name="TextBox 23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69" name="TextBox 23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70" name="TextBox 23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71" name="TextBox 23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72" name="TextBox 23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73" name="TextBox 23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74" name="TextBox 23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75" name="TextBox 23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76" name="TextBox 23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77" name="TextBox 23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78" name="TextBox 23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79" name="TextBox 23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80" name="TextBox 23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81" name="TextBox 23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82" name="TextBox 23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83" name="TextBox 23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3984" name="TextBox 23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85" name="TextBox 23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86" name="TextBox 23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87" name="TextBox 23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88" name="TextBox 23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89" name="TextBox 23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90" name="TextBox 23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91" name="TextBox 23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92" name="TextBox 23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93" name="TextBox 23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94" name="TextBox 23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95" name="TextBox 23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96" name="TextBox 23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97" name="TextBox 23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98" name="TextBox 23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3999" name="TextBox 23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00" name="TextBox 23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01" name="TextBox 24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02" name="TextBox 24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003" name="TextBox 24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004" name="TextBox 24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005" name="TextBox 24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006" name="TextBox 24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007" name="TextBox 24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008" name="TextBox 24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09" name="TextBox 24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10" name="TextBox 24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11" name="TextBox 24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12" name="TextBox 24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13" name="TextBox 24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14" name="TextBox 24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15" name="TextBox 24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16" name="TextBox 24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17" name="TextBox 24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18" name="TextBox 24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19" name="TextBox 24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20" name="TextBox 24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21" name="TextBox 24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22" name="TextBox 24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23" name="TextBox 24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24" name="TextBox 24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25" name="TextBox 24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26" name="TextBox 24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27" name="TextBox 24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28" name="TextBox 24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29" name="TextBox 24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30" name="TextBox 24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31" name="TextBox 24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32" name="TextBox 24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033" name="TextBox 24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034" name="TextBox 24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035" name="TextBox 24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036" name="TextBox 24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037" name="TextBox 24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038" name="TextBox 24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39" name="TextBox 24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40" name="TextBox 24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41" name="TextBox 24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42" name="TextBox 24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43" name="TextBox 24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44" name="TextBox 24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45" name="TextBox 24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46" name="TextBox 24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47" name="TextBox 24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48" name="TextBox 24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49" name="TextBox 24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50" name="TextBox 24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51" name="TextBox 24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52" name="TextBox 24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53" name="TextBox 24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54" name="TextBox 24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55" name="TextBox 24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56" name="TextBox 24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57" name="TextBox 24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58" name="TextBox 24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59" name="TextBox 24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60" name="TextBox 24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61" name="TextBox 24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62" name="TextBox 24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63" name="TextBox 24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64" name="TextBox 24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65" name="TextBox 24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66" name="TextBox 24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67" name="TextBox 24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68" name="TextBox 24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069" name="TextBox 24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070" name="TextBox 24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071" name="TextBox 24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072" name="TextBox 24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073" name="TextBox 24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074" name="TextBox 24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75" name="TextBox 24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76" name="TextBox 24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77" name="TextBox 24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78" name="TextBox 24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79" name="TextBox 24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80" name="TextBox 24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81" name="TextBox 24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82" name="TextBox 24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83" name="TextBox 24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84" name="TextBox 24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85" name="TextBox 24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86" name="TextBox 24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87" name="TextBox 24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88" name="TextBox 24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89" name="TextBox 24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90" name="TextBox 24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91" name="TextBox 24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92" name="TextBox 24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93" name="TextBox 24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94" name="TextBox 24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95" name="TextBox 24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96" name="TextBox 24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97" name="TextBox 24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98" name="TextBox 24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099" name="TextBox 24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00" name="TextBox 24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01" name="TextBox 24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02" name="TextBox 24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03" name="TextBox 24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04" name="TextBox 24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05" name="TextBox 24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06" name="TextBox 24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07" name="TextBox 24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08" name="TextBox 24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09" name="TextBox 24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10" name="TextBox 24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11" name="TextBox 24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12" name="TextBox 24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13" name="TextBox 24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14" name="TextBox 24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15" name="TextBox 24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16" name="TextBox 24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17" name="TextBox 24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18" name="TextBox 24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19" name="TextBox 24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20" name="TextBox 24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21" name="TextBox 24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22" name="TextBox 24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23" name="TextBox 24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24" name="TextBox 24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25" name="TextBox 24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26" name="TextBox 24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27" name="TextBox 24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28" name="TextBox 24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29" name="TextBox 24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30" name="TextBox 24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31" name="TextBox 24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32" name="TextBox 24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33" name="TextBox 24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34" name="TextBox 24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35" name="TextBox 24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36" name="TextBox 24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37" name="TextBox 24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38" name="TextBox 24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39" name="TextBox 24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40" name="TextBox 24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41" name="TextBox 24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42" name="TextBox 24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43" name="TextBox 24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44" name="TextBox 24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45" name="TextBox 24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46" name="TextBox 24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47" name="TextBox 24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48" name="TextBox 24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49" name="TextBox 24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50" name="TextBox 24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51" name="TextBox 24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152" name="TextBox 24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4153" name="TextBox 24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4154" name="TextBox 24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4155" name="TextBox 24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4156" name="TextBox 24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4157" name="TextBox 24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4158" name="TextBox 24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59" name="TextBox 24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60" name="TextBox 24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61" name="TextBox 24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62" name="TextBox 24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63" name="TextBox 24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64" name="TextBox 24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165" name="TextBox 24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166" name="TextBox 24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167" name="TextBox 24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168" name="TextBox 24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169" name="TextBox 24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170" name="TextBox 24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171" name="TextBox 24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172" name="TextBox 24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173" name="TextBox 24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174" name="TextBox 24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175" name="TextBox 24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176" name="TextBox 24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77" name="TextBox 24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78" name="TextBox 24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79" name="TextBox 24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80" name="TextBox 24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81" name="TextBox 24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82" name="TextBox 24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83" name="TextBox 24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84" name="TextBox 24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85" name="TextBox 24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86" name="TextBox 24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87" name="TextBox 24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88" name="TextBox 24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189" name="TextBox 24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190" name="TextBox 24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191" name="TextBox 24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192" name="TextBox 24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193" name="TextBox 24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194" name="TextBox 24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95" name="TextBox 24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96" name="TextBox 24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97" name="TextBox 24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98" name="TextBox 24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199" name="TextBox 24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00" name="TextBox 24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01" name="TextBox 24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02" name="TextBox 24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03" name="TextBox 24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04" name="TextBox 24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05" name="TextBox 24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06" name="TextBox 24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07" name="TextBox 24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08" name="TextBox 24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09" name="TextBox 24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10" name="TextBox 24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11" name="TextBox 24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12" name="TextBox 24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213" name="TextBox 24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214" name="TextBox 24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215" name="TextBox 24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216" name="TextBox 24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217" name="TextBox 24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218" name="TextBox 24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19" name="TextBox 24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20" name="TextBox 24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21" name="TextBox 24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22" name="TextBox 24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23" name="TextBox 24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24" name="TextBox 24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25" name="TextBox 24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26" name="TextBox 24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27" name="TextBox 24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28" name="TextBox 24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29" name="TextBox 24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30" name="TextBox 24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31" name="TextBox 24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32" name="TextBox 24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33" name="TextBox 24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34" name="TextBox 24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35" name="TextBox 24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36" name="TextBox 24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37" name="TextBox 24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38" name="TextBox 24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39" name="TextBox 24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40" name="TextBox 24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41" name="TextBox 24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42" name="TextBox 24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243" name="TextBox 24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244" name="TextBox 24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245" name="TextBox 24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246" name="TextBox 24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247" name="TextBox 24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248" name="TextBox 24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49" name="TextBox 24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50" name="TextBox 24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51" name="TextBox 24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52" name="TextBox 24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53" name="TextBox 24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54" name="TextBox 24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55" name="TextBox 24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56" name="TextBox 24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57" name="TextBox 24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58" name="TextBox 24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59" name="TextBox 24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60" name="TextBox 24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61" name="TextBox 24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62" name="TextBox 24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63" name="TextBox 24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64" name="TextBox 24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65" name="TextBox 24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66" name="TextBox 24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67" name="TextBox 24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68" name="TextBox 24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69" name="TextBox 24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70" name="TextBox 24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71" name="TextBox 24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72" name="TextBox 24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73" name="TextBox 24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74" name="TextBox 24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75" name="TextBox 24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76" name="TextBox 24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77" name="TextBox 24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78" name="TextBox 24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79" name="TextBox 24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80" name="TextBox 24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81" name="TextBox 24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82" name="TextBox 24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83" name="TextBox 24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284" name="TextBox 24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85" name="TextBox 24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86" name="TextBox 24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87" name="TextBox 24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88" name="TextBox 24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89" name="TextBox 24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90" name="TextBox 24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91" name="TextBox 24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92" name="TextBox 24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93" name="TextBox 24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94" name="TextBox 24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95" name="TextBox 24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96" name="TextBox 24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97" name="TextBox 24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98" name="TextBox 24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299" name="TextBox 24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00" name="TextBox 24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01" name="TextBox 24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02" name="TextBox 24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03" name="TextBox 24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04" name="TextBox 24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05" name="TextBox 24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06" name="TextBox 24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07" name="TextBox 24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08" name="TextBox 24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09" name="TextBox 24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10" name="TextBox 24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11" name="TextBox 24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12" name="TextBox 24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13" name="TextBox 24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14" name="TextBox 24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15" name="TextBox 24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16" name="TextBox 24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17" name="TextBox 24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18" name="TextBox 24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19" name="TextBox 24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20" name="TextBox 24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21" name="TextBox 24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22" name="TextBox 24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23" name="TextBox 24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24" name="TextBox 24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25" name="TextBox 24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26" name="TextBox 24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27" name="TextBox 24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28" name="TextBox 24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29" name="TextBox 24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30" name="TextBox 24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31" name="TextBox 24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32" name="TextBox 24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33" name="TextBox 24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34" name="TextBox 24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35" name="TextBox 24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36" name="TextBox 24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37" name="TextBox 24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38" name="TextBox 24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39" name="TextBox 24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40" name="TextBox 24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41" name="TextBox 24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42" name="TextBox 24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43" name="TextBox 24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44" name="TextBox 24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45" name="TextBox 24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46" name="TextBox 24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47" name="TextBox 24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48" name="TextBox 24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49" name="TextBox 24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50" name="TextBox 24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51" name="TextBox 24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52" name="TextBox 24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53" name="TextBox 24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54" name="TextBox 24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55" name="TextBox 24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56" name="TextBox 24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57" name="TextBox 24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58" name="TextBox 24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59" name="TextBox 24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60" name="TextBox 24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61" name="TextBox 24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62" name="TextBox 24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63" name="TextBox 24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64" name="TextBox 24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65" name="TextBox 24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66" name="TextBox 24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67" name="TextBox 24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68" name="TextBox 24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69" name="TextBox 24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70" name="TextBox 24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71" name="TextBox 24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72" name="TextBox 24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73" name="TextBox 24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74" name="TextBox 24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375" name="TextBox 24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376" name="TextBox 24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377" name="TextBox 24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378" name="TextBox 24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379" name="TextBox 24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380" name="TextBox 24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81" name="TextBox 24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82" name="TextBox 24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83" name="TextBox 24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84" name="TextBox 24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85" name="TextBox 24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86" name="TextBox 24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87" name="TextBox 24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88" name="TextBox 24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89" name="TextBox 24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90" name="TextBox 24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91" name="TextBox 24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92" name="TextBox 24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93" name="TextBox 24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94" name="TextBox 24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95" name="TextBox 24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96" name="TextBox 24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97" name="TextBox 24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398" name="TextBox 24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399" name="TextBox 24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00" name="TextBox 24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01" name="TextBox 24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02" name="TextBox 24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03" name="TextBox 24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04" name="TextBox 24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05" name="TextBox 24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06" name="TextBox 24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07" name="TextBox 24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08" name="TextBox 24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09" name="TextBox 24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10" name="TextBox 24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411" name="TextBox 24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412" name="TextBox 24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413" name="TextBox 24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414" name="TextBox 24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415" name="TextBox 24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416" name="TextBox 24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17" name="TextBox 24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18" name="TextBox 24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19" name="TextBox 24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20" name="TextBox 24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21" name="TextBox 24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22" name="TextBox 24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23" name="TextBox 24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24" name="TextBox 24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25" name="TextBox 24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26" name="TextBox 24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27" name="TextBox 24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28" name="TextBox 24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29" name="TextBox 24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30" name="TextBox 24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31" name="TextBox 24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32" name="TextBox 24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33" name="TextBox 24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34" name="TextBox 24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435" name="TextBox 24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436" name="TextBox 24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437" name="TextBox 24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438" name="TextBox 24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439" name="TextBox 24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440" name="TextBox 24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41" name="TextBox 24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42" name="TextBox 24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43" name="TextBox 24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44" name="TextBox 24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45" name="TextBox 24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46" name="TextBox 24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47" name="TextBox 24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48" name="TextBox 24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49" name="TextBox 24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50" name="TextBox 24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51" name="TextBox 24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52" name="TextBox 24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53" name="TextBox 24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54" name="TextBox 24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55" name="TextBox 24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56" name="TextBox 24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57" name="TextBox 24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58" name="TextBox 24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59" name="TextBox 24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60" name="TextBox 24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61" name="TextBox 24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62" name="TextBox 24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63" name="TextBox 24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64" name="TextBox 24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465" name="TextBox 24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466" name="TextBox 24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467" name="TextBox 24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468" name="TextBox 24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469" name="TextBox 24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470" name="TextBox 24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71" name="TextBox 24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72" name="TextBox 24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73" name="TextBox 24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74" name="TextBox 24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75" name="TextBox 24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76" name="TextBox 24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77" name="TextBox 24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78" name="TextBox 24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79" name="TextBox 24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80" name="TextBox 24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81" name="TextBox 24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82" name="TextBox 24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83" name="TextBox 24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84" name="TextBox 24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85" name="TextBox 24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86" name="TextBox 24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87" name="TextBox 24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88" name="TextBox 24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89" name="TextBox 24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90" name="TextBox 24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91" name="TextBox 24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92" name="TextBox 24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93" name="TextBox 24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94" name="TextBox 24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95" name="TextBox 24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96" name="TextBox 24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97" name="TextBox 24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98" name="TextBox 24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499" name="TextBox 24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00" name="TextBox 24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01" name="TextBox 24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02" name="TextBox 24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03" name="TextBox 24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04" name="TextBox 24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05" name="TextBox 24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06" name="TextBox 24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07" name="TextBox 24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08" name="TextBox 24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09" name="TextBox 24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10" name="TextBox 24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11" name="TextBox 24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12" name="TextBox 24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13" name="TextBox 24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14" name="TextBox 24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15" name="TextBox 24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16" name="TextBox 24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17" name="TextBox 24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18" name="TextBox 24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19" name="TextBox 24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20" name="TextBox 24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21" name="TextBox 24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22" name="TextBox 24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23" name="TextBox 24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24" name="TextBox 24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25" name="TextBox 24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26" name="TextBox 24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27" name="TextBox 24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28" name="TextBox 24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29" name="TextBox 24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30" name="TextBox 24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31" name="TextBox 24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32" name="TextBox 24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33" name="TextBox 24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34" name="TextBox 24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35" name="TextBox 24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36" name="TextBox 24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37" name="TextBox 24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38" name="TextBox 24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39" name="TextBox 24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40" name="TextBox 24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41" name="TextBox 24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42" name="TextBox 24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43" name="TextBox 24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44" name="TextBox 24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45" name="TextBox 24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46" name="TextBox 24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47" name="TextBox 24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48" name="TextBox 24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549" name="TextBox 24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550" name="TextBox 24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551" name="TextBox 24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552" name="TextBox 24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553" name="TextBox 24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554" name="TextBox 24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55" name="TextBox 24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56" name="TextBox 24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57" name="TextBox 24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58" name="TextBox 24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59" name="TextBox 24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60" name="TextBox 24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61" name="TextBox 24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62" name="TextBox 24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63" name="TextBox 24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64" name="TextBox 24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65" name="TextBox 24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66" name="TextBox 24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67" name="TextBox 24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68" name="TextBox 24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69" name="TextBox 24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70" name="TextBox 24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71" name="TextBox 24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72" name="TextBox 24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73" name="TextBox 24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74" name="TextBox 24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75" name="TextBox 24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76" name="TextBox 24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77" name="TextBox 24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78" name="TextBox 24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79" name="TextBox 24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80" name="TextBox 24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81" name="TextBox 24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82" name="TextBox 24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83" name="TextBox 24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84" name="TextBox 24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85" name="TextBox 24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86" name="TextBox 24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87" name="TextBox 24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88" name="TextBox 24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89" name="TextBox 24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590" name="TextBox 24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91" name="TextBox 24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92" name="TextBox 24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93" name="TextBox 24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94" name="TextBox 24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95" name="TextBox 24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96" name="TextBox 24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97" name="TextBox 24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98" name="TextBox 24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599" name="TextBox 24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00" name="TextBox 24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01" name="TextBox 24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02" name="TextBox 24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03" name="TextBox 24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04" name="TextBox 24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05" name="TextBox 24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06" name="TextBox 24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07" name="TextBox 24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08" name="TextBox 24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609" name="TextBox 24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610" name="TextBox 24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611" name="TextBox 24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612" name="TextBox 24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613" name="TextBox 24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614" name="TextBox 24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15" name="TextBox 24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16" name="TextBox 24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17" name="TextBox 24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18" name="TextBox 24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19" name="TextBox 24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20" name="TextBox 24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21" name="TextBox 24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22" name="TextBox 24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23" name="TextBox 24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24" name="TextBox 24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25" name="TextBox 24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26" name="TextBox 24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27" name="TextBox 24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28" name="TextBox 24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29" name="TextBox 24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30" name="TextBox 24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31" name="TextBox 24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32" name="TextBox 24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33" name="TextBox 24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34" name="TextBox 24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35" name="TextBox 24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36" name="TextBox 24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37" name="TextBox 24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38" name="TextBox 24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639" name="TextBox 24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640" name="TextBox 24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641" name="TextBox 24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642" name="TextBox 24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643" name="TextBox 24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644" name="TextBox 24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45" name="TextBox 24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46" name="TextBox 24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47" name="TextBox 24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48" name="TextBox 24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49" name="TextBox 24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50" name="TextBox 24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51" name="TextBox 24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52" name="TextBox 24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53" name="TextBox 24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54" name="TextBox 24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55" name="TextBox 24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56" name="TextBox 24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57" name="TextBox 24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58" name="TextBox 24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59" name="TextBox 24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60" name="TextBox 24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61" name="TextBox 24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62" name="TextBox 24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63" name="TextBox 24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64" name="TextBox 24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65" name="TextBox 24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66" name="TextBox 24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67" name="TextBox 24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68" name="TextBox 24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69" name="TextBox 24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70" name="TextBox 24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71" name="TextBox 24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72" name="TextBox 24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73" name="TextBox 24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74" name="TextBox 24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675" name="TextBox 24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676" name="TextBox 24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677" name="TextBox 24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678" name="TextBox 24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679" name="TextBox 24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680" name="TextBox 24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81" name="TextBox 24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82" name="TextBox 24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83" name="TextBox 24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84" name="TextBox 24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85" name="TextBox 24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86" name="TextBox 24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87" name="TextBox 24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88" name="TextBox 24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89" name="TextBox 24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90" name="TextBox 24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91" name="TextBox 24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92" name="TextBox 24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93" name="TextBox 24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94" name="TextBox 24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95" name="TextBox 24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96" name="TextBox 24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97" name="TextBox 24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98" name="TextBox 24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699" name="TextBox 24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00" name="TextBox 24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01" name="TextBox 24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02" name="TextBox 24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03" name="TextBox 24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04" name="TextBox 24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05" name="TextBox 24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06" name="TextBox 24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07" name="TextBox 24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08" name="TextBox 24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09" name="TextBox 24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10" name="TextBox 24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11" name="TextBox 24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12" name="TextBox 24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13" name="TextBox 24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14" name="TextBox 24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15" name="TextBox 24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16" name="TextBox 24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717" name="TextBox 24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718" name="TextBox 24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719" name="TextBox 24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720" name="TextBox 24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721" name="TextBox 24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722" name="TextBox 24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23" name="TextBox 24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24" name="TextBox 24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25" name="TextBox 24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26" name="TextBox 24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27" name="TextBox 24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28" name="TextBox 24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29" name="TextBox 24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30" name="TextBox 24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31" name="TextBox 24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32" name="TextBox 24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33" name="TextBox 24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34" name="TextBox 24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35" name="TextBox 24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36" name="TextBox 24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37" name="TextBox 24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38" name="TextBox 24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39" name="TextBox 24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40" name="TextBox 24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41" name="TextBox 24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42" name="TextBox 24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43" name="TextBox 24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44" name="TextBox 24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45" name="TextBox 24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46" name="TextBox 24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47" name="TextBox 24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48" name="TextBox 24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49" name="TextBox 24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50" name="TextBox 24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51" name="TextBox 24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52" name="TextBox 24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53" name="TextBox 24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54" name="TextBox 24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55" name="TextBox 24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56" name="TextBox 24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57" name="TextBox 24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58" name="TextBox 24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759" name="TextBox 24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760" name="TextBox 24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761" name="TextBox 24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762" name="TextBox 24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763" name="TextBox 24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764" name="TextBox 24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65" name="TextBox 24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66" name="TextBox 24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67" name="TextBox 24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68" name="TextBox 24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69" name="TextBox 24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70" name="TextBox 24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71" name="TextBox 24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72" name="TextBox 24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73" name="TextBox 24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74" name="TextBox 24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75" name="TextBox 24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76" name="TextBox 24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77" name="TextBox 24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78" name="TextBox 24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79" name="TextBox 24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80" name="TextBox 24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81" name="TextBox 24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82" name="TextBox 24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83" name="TextBox 24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84" name="TextBox 24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85" name="TextBox 24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86" name="TextBox 24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87" name="TextBox 24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88" name="TextBox 24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89" name="TextBox 24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90" name="TextBox 24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91" name="TextBox 24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92" name="TextBox 24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93" name="TextBox 24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94" name="TextBox 24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95" name="TextBox 24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96" name="TextBox 24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97" name="TextBox 24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98" name="TextBox 24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799" name="TextBox 24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800" name="TextBox 24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801" name="TextBox 24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802" name="TextBox 24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803" name="TextBox 24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804" name="TextBox 24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805" name="TextBox 24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806" name="TextBox 24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807" name="TextBox 24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808" name="TextBox 24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809" name="TextBox 24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810" name="TextBox 24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811" name="TextBox 24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812" name="TextBox 24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4813" name="TextBox 24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4814" name="TextBox 24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4815" name="TextBox 24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4816" name="TextBox 24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4817" name="TextBox 24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184731" cy="264560"/>
    <xdr:sp macro="" textlink="">
      <xdr:nvSpPr>
        <xdr:cNvPr id="24818" name="TextBox 24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19" name="TextBox 24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20" name="TextBox 24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21" name="TextBox 24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22" name="TextBox 24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23" name="TextBox 24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24" name="TextBox 24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825" name="TextBox 24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826" name="TextBox 24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827" name="TextBox 24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828" name="TextBox 24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829" name="TextBox 24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830" name="TextBox 24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831" name="TextBox 24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832" name="TextBox 24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833" name="TextBox 24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834" name="TextBox 24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835" name="TextBox 24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836" name="TextBox 24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37" name="TextBox 24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38" name="TextBox 24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39" name="TextBox 24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40" name="TextBox 24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41" name="TextBox 24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42" name="TextBox 24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43" name="TextBox 24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44" name="TextBox 24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45" name="TextBox 24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46" name="TextBox 24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47" name="TextBox 24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48" name="TextBox 24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849" name="TextBox 24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850" name="TextBox 24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851" name="TextBox 24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852" name="TextBox 24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853" name="TextBox 24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854" name="TextBox 24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55" name="TextBox 24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56" name="TextBox 24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57" name="TextBox 24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58" name="TextBox 24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59" name="TextBox 24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60" name="TextBox 24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61" name="TextBox 24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62" name="TextBox 24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63" name="TextBox 24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64" name="TextBox 24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65" name="TextBox 24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66" name="TextBox 24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67" name="TextBox 24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68" name="TextBox 24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69" name="TextBox 24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70" name="TextBox 24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71" name="TextBox 24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72" name="TextBox 24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873" name="TextBox 24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874" name="TextBox 24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875" name="TextBox 24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876" name="TextBox 24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877" name="TextBox 24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878" name="TextBox 24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79" name="TextBox 24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80" name="TextBox 24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81" name="TextBox 24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82" name="TextBox 24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83" name="TextBox 24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84" name="TextBox 24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85" name="TextBox 24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86" name="TextBox 24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87" name="TextBox 24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88" name="TextBox 24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89" name="TextBox 24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90" name="TextBox 24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91" name="TextBox 24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92" name="TextBox 24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93" name="TextBox 24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94" name="TextBox 24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95" name="TextBox 24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96" name="TextBox 24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97" name="TextBox 24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98" name="TextBox 24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899" name="TextBox 24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00" name="TextBox 24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01" name="TextBox 24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02" name="TextBox 24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903" name="TextBox 24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904" name="TextBox 24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905" name="TextBox 24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906" name="TextBox 24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907" name="TextBox 24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4908" name="TextBox 24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09" name="TextBox 24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10" name="TextBox 24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11" name="TextBox 24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12" name="TextBox 24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13" name="TextBox 24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14" name="TextBox 24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15" name="TextBox 24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16" name="TextBox 24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17" name="TextBox 24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18" name="TextBox 24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19" name="TextBox 24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20" name="TextBox 24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21" name="TextBox 24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22" name="TextBox 24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23" name="TextBox 24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24" name="TextBox 24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25" name="TextBox 24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26" name="TextBox 24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27" name="TextBox 24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28" name="TextBox 24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29" name="TextBox 24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30" name="TextBox 24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31" name="TextBox 24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32" name="TextBox 24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33" name="TextBox 24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34" name="TextBox 24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35" name="TextBox 24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36" name="TextBox 24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37" name="TextBox 24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38" name="TextBox 24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39" name="TextBox 24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40" name="TextBox 24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41" name="TextBox 24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42" name="TextBox 24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43" name="TextBox 24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44" name="TextBox 24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45" name="TextBox 24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46" name="TextBox 24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47" name="TextBox 24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48" name="TextBox 24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49" name="TextBox 24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50" name="TextBox 24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51" name="TextBox 24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52" name="TextBox 24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53" name="TextBox 24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54" name="TextBox 24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55" name="TextBox 24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56" name="TextBox 24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57" name="TextBox 24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58" name="TextBox 24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59" name="TextBox 24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60" name="TextBox 24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61" name="TextBox 24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62" name="TextBox 24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63" name="TextBox 24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64" name="TextBox 24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65" name="TextBox 24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66" name="TextBox 24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67" name="TextBox 24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68" name="TextBox 24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69" name="TextBox 24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70" name="TextBox 24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71" name="TextBox 24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72" name="TextBox 24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73" name="TextBox 24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74" name="TextBox 24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75" name="TextBox 24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76" name="TextBox 24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77" name="TextBox 24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78" name="TextBox 24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79" name="TextBox 24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80" name="TextBox 24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81" name="TextBox 24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82" name="TextBox 24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83" name="TextBox 24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84" name="TextBox 24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85" name="TextBox 24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86" name="TextBox 24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87" name="TextBox 24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88" name="TextBox 24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89" name="TextBox 24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90" name="TextBox 24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91" name="TextBox 24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4992" name="TextBox 24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93" name="TextBox 24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94" name="TextBox 24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95" name="TextBox 24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96" name="TextBox 24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97" name="TextBox 24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4998" name="TextBox 24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4999" name="TextBox 24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00" name="TextBox 24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01" name="TextBox 25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02" name="TextBox 25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03" name="TextBox 25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04" name="TextBox 25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005" name="TextBox 25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006" name="TextBox 25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007" name="TextBox 25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008" name="TextBox 25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009" name="TextBox 25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010" name="TextBox 25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011" name="TextBox 25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012" name="TextBox 25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013" name="TextBox 25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014" name="TextBox 25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015" name="TextBox 25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016" name="TextBox 25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17" name="TextBox 25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18" name="TextBox 25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19" name="TextBox 25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20" name="TextBox 25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21" name="TextBox 25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22" name="TextBox 25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23" name="TextBox 25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24" name="TextBox 25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25" name="TextBox 25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26" name="TextBox 25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27" name="TextBox 25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28" name="TextBox 25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029" name="TextBox 25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030" name="TextBox 25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031" name="TextBox 25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032" name="TextBox 25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033" name="TextBox 25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034" name="TextBox 25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35" name="TextBox 25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36" name="TextBox 25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37" name="TextBox 25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38" name="TextBox 25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39" name="TextBox 25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40" name="TextBox 25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41" name="TextBox 25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42" name="TextBox 25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43" name="TextBox 25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44" name="TextBox 25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45" name="TextBox 25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46" name="TextBox 25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47" name="TextBox 25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48" name="TextBox 25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49" name="TextBox 25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50" name="TextBox 25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51" name="TextBox 25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52" name="TextBox 25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053" name="TextBox 25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054" name="TextBox 25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055" name="TextBox 25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056" name="TextBox 25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057" name="TextBox 25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058" name="TextBox 25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59" name="TextBox 25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60" name="TextBox 25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61" name="TextBox 25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62" name="TextBox 25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63" name="TextBox 25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64" name="TextBox 25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65" name="TextBox 25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66" name="TextBox 25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67" name="TextBox 25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68" name="TextBox 25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69" name="TextBox 25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70" name="TextBox 25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71" name="TextBox 25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72" name="TextBox 25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73" name="TextBox 25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74" name="TextBox 25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75" name="TextBox 25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76" name="TextBox 25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77" name="TextBox 25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78" name="TextBox 25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79" name="TextBox 25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80" name="TextBox 25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81" name="TextBox 25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82" name="TextBox 25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083" name="TextBox 25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084" name="TextBox 25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085" name="TextBox 25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086" name="TextBox 25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087" name="TextBox 25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088" name="TextBox 25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89" name="TextBox 25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90" name="TextBox 25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91" name="TextBox 25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92" name="TextBox 25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93" name="TextBox 25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94" name="TextBox 25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95" name="TextBox 25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96" name="TextBox 25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97" name="TextBox 25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98" name="TextBox 25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099" name="TextBox 25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00" name="TextBox 25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01" name="TextBox 25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02" name="TextBox 25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03" name="TextBox 25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04" name="TextBox 25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05" name="TextBox 25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06" name="TextBox 25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07" name="TextBox 25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08" name="TextBox 25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09" name="TextBox 25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10" name="TextBox 25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11" name="TextBox 25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12" name="TextBox 25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113" name="TextBox 25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114" name="TextBox 25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115" name="TextBox 25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116" name="TextBox 25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117" name="TextBox 25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118" name="TextBox 25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19" name="TextBox 25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20" name="TextBox 25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21" name="TextBox 25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22" name="TextBox 25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23" name="TextBox 25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24" name="TextBox 25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25" name="TextBox 25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26" name="TextBox 25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27" name="TextBox 25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28" name="TextBox 25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29" name="TextBox 25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30" name="TextBox 25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31" name="TextBox 25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32" name="TextBox 25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33" name="TextBox 25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34" name="TextBox 25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35" name="TextBox 25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36" name="TextBox 25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37" name="TextBox 25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38" name="TextBox 25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39" name="TextBox 25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40" name="TextBox 25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41" name="TextBox 25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42" name="TextBox 25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43" name="TextBox 25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44" name="TextBox 25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45" name="TextBox 25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46" name="TextBox 25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47" name="TextBox 25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48" name="TextBox 25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49" name="TextBox 25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50" name="TextBox 25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51" name="TextBox 25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52" name="TextBox 25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53" name="TextBox 25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154" name="TextBox 25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5155" name="TextBox 25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5156" name="TextBox 25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5157" name="TextBox 25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5158" name="TextBox 25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5159" name="TextBox 25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5160" name="TextBox 25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161" name="TextBox 25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162" name="TextBox 25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163" name="TextBox 25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164" name="TextBox 25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165" name="TextBox 25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166" name="TextBox 25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167" name="TextBox 25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168" name="TextBox 25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169" name="TextBox 25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170" name="TextBox 25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171" name="TextBox 25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172" name="TextBox 25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173" name="TextBox 25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174" name="TextBox 25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175" name="TextBox 25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176" name="TextBox 25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177" name="TextBox 25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178" name="TextBox 25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179" name="TextBox 25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180" name="TextBox 25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181" name="TextBox 25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182" name="TextBox 25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183" name="TextBox 25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184" name="TextBox 25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185" name="TextBox 25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186" name="TextBox 25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187" name="TextBox 25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188" name="TextBox 25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189" name="TextBox 25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190" name="TextBox 25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191" name="TextBox 25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192" name="TextBox 25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193" name="TextBox 25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194" name="TextBox 25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195" name="TextBox 25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196" name="TextBox 25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197" name="TextBox 25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198" name="TextBox 25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199" name="TextBox 25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00" name="TextBox 25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01" name="TextBox 25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02" name="TextBox 25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03" name="TextBox 25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04" name="TextBox 25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05" name="TextBox 25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06" name="TextBox 25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07" name="TextBox 25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08" name="TextBox 25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09" name="TextBox 25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10" name="TextBox 25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11" name="TextBox 25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12" name="TextBox 25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13" name="TextBox 25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14" name="TextBox 25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215" name="TextBox 25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216" name="TextBox 25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217" name="TextBox 25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218" name="TextBox 25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219" name="TextBox 25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220" name="TextBox 25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21" name="TextBox 25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22" name="TextBox 25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23" name="TextBox 25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24" name="TextBox 25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25" name="TextBox 25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26" name="TextBox 25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27" name="TextBox 25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28" name="TextBox 25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29" name="TextBox 25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30" name="TextBox 25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31" name="TextBox 25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32" name="TextBox 25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33" name="TextBox 25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34" name="TextBox 25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35" name="TextBox 25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36" name="TextBox 25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37" name="TextBox 25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38" name="TextBox 25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39" name="TextBox 25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40" name="TextBox 25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41" name="TextBox 25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42" name="TextBox 25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43" name="TextBox 25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44" name="TextBox 25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245" name="TextBox 25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246" name="TextBox 25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247" name="TextBox 25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248" name="TextBox 25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249" name="TextBox 25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250" name="TextBox 25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51" name="TextBox 25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52" name="TextBox 25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53" name="TextBox 25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54" name="TextBox 25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55" name="TextBox 25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56" name="TextBox 25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57" name="TextBox 25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58" name="TextBox 25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59" name="TextBox 25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60" name="TextBox 25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61" name="TextBox 25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62" name="TextBox 25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63" name="TextBox 25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64" name="TextBox 25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65" name="TextBox 25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66" name="TextBox 25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67" name="TextBox 25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68" name="TextBox 25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69" name="TextBox 25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70" name="TextBox 25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71" name="TextBox 25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72" name="TextBox 25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73" name="TextBox 25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74" name="TextBox 25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75" name="TextBox 25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76" name="TextBox 25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77" name="TextBox 25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78" name="TextBox 25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79" name="TextBox 25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80" name="TextBox 25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81" name="TextBox 25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82" name="TextBox 25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83" name="TextBox 25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84" name="TextBox 25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85" name="TextBox 25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286" name="TextBox 25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87" name="TextBox 25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88" name="TextBox 25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89" name="TextBox 25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90" name="TextBox 25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91" name="TextBox 25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92" name="TextBox 25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93" name="TextBox 25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94" name="TextBox 25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95" name="TextBox 25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96" name="TextBox 25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97" name="TextBox 25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98" name="TextBox 25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299" name="TextBox 25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00" name="TextBox 25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01" name="TextBox 25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02" name="TextBox 25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03" name="TextBox 25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04" name="TextBox 25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305" name="TextBox 25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306" name="TextBox 25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307" name="TextBox 25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308" name="TextBox 25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309" name="TextBox 25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310" name="TextBox 25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11" name="TextBox 25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12" name="TextBox 25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13" name="TextBox 25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14" name="TextBox 25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15" name="TextBox 25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16" name="TextBox 25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17" name="TextBox 25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18" name="TextBox 25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19" name="TextBox 25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20" name="TextBox 25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21" name="TextBox 25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22" name="TextBox 25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23" name="TextBox 25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24" name="TextBox 25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25" name="TextBox 25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26" name="TextBox 25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27" name="TextBox 25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28" name="TextBox 25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29" name="TextBox 25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30" name="TextBox 25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31" name="TextBox 25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32" name="TextBox 25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33" name="TextBox 25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34" name="TextBox 25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335" name="TextBox 25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336" name="TextBox 25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337" name="TextBox 25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338" name="TextBox 25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339" name="TextBox 25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340" name="TextBox 25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41" name="TextBox 25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42" name="TextBox 25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43" name="TextBox 25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44" name="TextBox 25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45" name="TextBox 25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46" name="TextBox 25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47" name="TextBox 25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48" name="TextBox 25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49" name="TextBox 25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50" name="TextBox 25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51" name="TextBox 25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52" name="TextBox 25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53" name="TextBox 25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54" name="TextBox 25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55" name="TextBox 25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56" name="TextBox 25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57" name="TextBox 25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58" name="TextBox 25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59" name="TextBox 25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60" name="TextBox 25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61" name="TextBox 25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62" name="TextBox 25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63" name="TextBox 25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64" name="TextBox 25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65" name="TextBox 25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66" name="TextBox 25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67" name="TextBox 25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68" name="TextBox 25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69" name="TextBox 25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70" name="TextBox 25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71" name="TextBox 25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72" name="TextBox 25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73" name="TextBox 25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74" name="TextBox 25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75" name="TextBox 25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76" name="TextBox 25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377" name="TextBox 25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378" name="TextBox 25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379" name="TextBox 25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380" name="TextBox 25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381" name="TextBox 25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382" name="TextBox 25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83" name="TextBox 25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84" name="TextBox 25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85" name="TextBox 25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86" name="TextBox 25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87" name="TextBox 25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388" name="TextBox 25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389" name="TextBox 25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390" name="TextBox 25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391" name="TextBox 25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392" name="TextBox 25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393" name="TextBox 25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394" name="TextBox 25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395" name="TextBox 25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396" name="TextBox 25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397" name="TextBox 25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398" name="TextBox 25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399" name="TextBox 25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400" name="TextBox 25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01" name="TextBox 25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02" name="TextBox 25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03" name="TextBox 25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04" name="TextBox 25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05" name="TextBox 25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06" name="TextBox 25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07" name="TextBox 25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08" name="TextBox 25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09" name="TextBox 25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10" name="TextBox 25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11" name="TextBox 25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12" name="TextBox 25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413" name="TextBox 25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414" name="TextBox 25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415" name="TextBox 25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416" name="TextBox 25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417" name="TextBox 25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418" name="TextBox 25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19" name="TextBox 25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20" name="TextBox 25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21" name="TextBox 25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22" name="TextBox 25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23" name="TextBox 25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24" name="TextBox 25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25" name="TextBox 25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26" name="TextBox 25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27" name="TextBox 25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28" name="TextBox 25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29" name="TextBox 25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30" name="TextBox 25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31" name="TextBox 25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32" name="TextBox 25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33" name="TextBox 25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34" name="TextBox 25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35" name="TextBox 25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36" name="TextBox 25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437" name="TextBox 25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438" name="TextBox 25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439" name="TextBox 25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440" name="TextBox 25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441" name="TextBox 25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442" name="TextBox 25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43" name="TextBox 25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44" name="TextBox 25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45" name="TextBox 25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46" name="TextBox 25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47" name="TextBox 25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48" name="TextBox 25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49" name="TextBox 25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50" name="TextBox 25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51" name="TextBox 25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52" name="TextBox 25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53" name="TextBox 25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54" name="TextBox 25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55" name="TextBox 25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56" name="TextBox 25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57" name="TextBox 25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58" name="TextBox 25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59" name="TextBox 25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60" name="TextBox 25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61" name="TextBox 25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62" name="TextBox 25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63" name="TextBox 25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64" name="TextBox 25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65" name="TextBox 25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66" name="TextBox 25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467" name="TextBox 25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468" name="TextBox 25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469" name="TextBox 25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470" name="TextBox 25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471" name="TextBox 25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472" name="TextBox 25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73" name="TextBox 25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74" name="TextBox 25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75" name="TextBox 25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76" name="TextBox 25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77" name="TextBox 25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78" name="TextBox 25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79" name="TextBox 25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80" name="TextBox 25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81" name="TextBox 25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82" name="TextBox 25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83" name="TextBox 25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84" name="TextBox 25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85" name="TextBox 25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86" name="TextBox 25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87" name="TextBox 25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88" name="TextBox 25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89" name="TextBox 25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90" name="TextBox 25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91" name="TextBox 25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92" name="TextBox 25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93" name="TextBox 25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94" name="TextBox 25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95" name="TextBox 25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96" name="TextBox 25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97" name="TextBox 25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98" name="TextBox 25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499" name="TextBox 25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00" name="TextBox 25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01" name="TextBox 25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02" name="TextBox 25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503" name="TextBox 25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504" name="TextBox 25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505" name="TextBox 25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506" name="TextBox 25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507" name="TextBox 25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508" name="TextBox 25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09" name="TextBox 25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10" name="TextBox 25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11" name="TextBox 25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12" name="TextBox 25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13" name="TextBox 25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14" name="TextBox 25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15" name="TextBox 25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16" name="TextBox 25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17" name="TextBox 25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18" name="TextBox 25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19" name="TextBox 25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20" name="TextBox 25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21" name="TextBox 25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22" name="TextBox 25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23" name="TextBox 25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24" name="TextBox 25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25" name="TextBox 25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26" name="TextBox 25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27" name="TextBox 25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28" name="TextBox 25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29" name="TextBox 25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30" name="TextBox 25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31" name="TextBox 25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32" name="TextBox 25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33" name="TextBox 25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34" name="TextBox 25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35" name="TextBox 25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36" name="TextBox 25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37" name="TextBox 25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38" name="TextBox 25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539" name="TextBox 25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540" name="TextBox 25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541" name="TextBox 25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542" name="TextBox 25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543" name="TextBox 25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544" name="TextBox 25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45" name="TextBox 25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46" name="TextBox 25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47" name="TextBox 25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48" name="TextBox 25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49" name="TextBox 25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50" name="TextBox 25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51" name="TextBox 25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52" name="TextBox 25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53" name="TextBox 25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54" name="TextBox 25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55" name="TextBox 25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56" name="TextBox 25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57" name="TextBox 25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58" name="TextBox 25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59" name="TextBox 25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60" name="TextBox 25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61" name="TextBox 25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62" name="TextBox 25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63" name="TextBox 25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64" name="TextBox 25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65" name="TextBox 25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66" name="TextBox 25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67" name="TextBox 25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68" name="TextBox 25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69" name="TextBox 25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70" name="TextBox 25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71" name="TextBox 25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72" name="TextBox 25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73" name="TextBox 25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74" name="TextBox 25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75" name="TextBox 25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76" name="TextBox 25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77" name="TextBox 25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78" name="TextBox 25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79" name="TextBox 25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80" name="TextBox 25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81" name="TextBox 25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82" name="TextBox 25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83" name="TextBox 25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84" name="TextBox 25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85" name="TextBox 25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586" name="TextBox 25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5587" name="TextBox 25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5588" name="TextBox 25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5589" name="TextBox 25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5590" name="TextBox 25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5591" name="TextBox 25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5592" name="TextBox 25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593" name="TextBox 25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594" name="TextBox 25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595" name="TextBox 25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596" name="TextBox 25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597" name="TextBox 25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598" name="TextBox 25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599" name="TextBox 25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600" name="TextBox 25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601" name="TextBox 25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602" name="TextBox 25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603" name="TextBox 25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604" name="TextBox 25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605" name="TextBox 25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606" name="TextBox 25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607" name="TextBox 25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608" name="TextBox 25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609" name="TextBox 25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610" name="TextBox 25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11" name="TextBox 25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12" name="TextBox 25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13" name="TextBox 25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14" name="TextBox 25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15" name="TextBox 25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16" name="TextBox 25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17" name="TextBox 25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18" name="TextBox 25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19" name="TextBox 25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20" name="TextBox 25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21" name="TextBox 25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22" name="TextBox 25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623" name="TextBox 25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624" name="TextBox 25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625" name="TextBox 25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626" name="TextBox 25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627" name="TextBox 25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628" name="TextBox 25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29" name="TextBox 25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30" name="TextBox 25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31" name="TextBox 25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32" name="TextBox 25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33" name="TextBox 25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34" name="TextBox 25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35" name="TextBox 25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36" name="TextBox 25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37" name="TextBox 25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38" name="TextBox 25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39" name="TextBox 25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40" name="TextBox 25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41" name="TextBox 25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42" name="TextBox 25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43" name="TextBox 25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44" name="TextBox 25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45" name="TextBox 25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46" name="TextBox 25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647" name="TextBox 25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648" name="TextBox 25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649" name="TextBox 25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650" name="TextBox 25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651" name="TextBox 25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652" name="TextBox 25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53" name="TextBox 25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54" name="TextBox 25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55" name="TextBox 25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56" name="TextBox 25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57" name="TextBox 25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58" name="TextBox 25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59" name="TextBox 25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60" name="TextBox 25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61" name="TextBox 25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62" name="TextBox 25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63" name="TextBox 25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64" name="TextBox 25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65" name="TextBox 25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66" name="TextBox 25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67" name="TextBox 25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68" name="TextBox 25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69" name="TextBox 25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70" name="TextBox 25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71" name="TextBox 25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72" name="TextBox 25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73" name="TextBox 25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74" name="TextBox 25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75" name="TextBox 25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76" name="TextBox 25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677" name="TextBox 25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678" name="TextBox 25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679" name="TextBox 25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680" name="TextBox 25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681" name="TextBox 25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682" name="TextBox 25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683" name="TextBox 25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684" name="TextBox 25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685" name="TextBox 25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686" name="TextBox 25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687" name="TextBox 25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688" name="TextBox 25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89" name="TextBox 25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90" name="TextBox 25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91" name="TextBox 25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92" name="TextBox 25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93" name="TextBox 25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94" name="TextBox 25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95" name="TextBox 25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96" name="TextBox 25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97" name="TextBox 25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98" name="TextBox 25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699" name="TextBox 25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700" name="TextBox 25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01" name="TextBox 25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02" name="TextBox 25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03" name="TextBox 25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04" name="TextBox 25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05" name="TextBox 25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06" name="TextBox 25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07" name="TextBox 25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08" name="TextBox 25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09" name="TextBox 25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10" name="TextBox 25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11" name="TextBox 25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12" name="TextBox 25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713" name="TextBox 25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714" name="TextBox 25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715" name="TextBox 25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716" name="TextBox 25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717" name="TextBox 25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718" name="TextBox 25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19" name="TextBox 25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20" name="TextBox 25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21" name="TextBox 25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22" name="TextBox 25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23" name="TextBox 25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24" name="TextBox 25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25" name="TextBox 25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26" name="TextBox 25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27" name="TextBox 25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28" name="TextBox 25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29" name="TextBox 25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30" name="TextBox 25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31" name="TextBox 25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32" name="TextBox 25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33" name="TextBox 25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34" name="TextBox 25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35" name="TextBox 25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36" name="TextBox 25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737" name="TextBox 25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738" name="TextBox 25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739" name="TextBox 25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740" name="TextBox 25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741" name="TextBox 25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742" name="TextBox 25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43" name="TextBox 25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44" name="TextBox 25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45" name="TextBox 25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46" name="TextBox 25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47" name="TextBox 25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48" name="TextBox 25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49" name="TextBox 25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50" name="TextBox 25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51" name="TextBox 25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52" name="TextBox 25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53" name="TextBox 25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54" name="TextBox 25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55" name="TextBox 25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56" name="TextBox 25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57" name="TextBox 25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58" name="TextBox 25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59" name="TextBox 25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60" name="TextBox 25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61" name="TextBox 25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62" name="TextBox 25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63" name="TextBox 25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64" name="TextBox 25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65" name="TextBox 25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66" name="TextBox 25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767" name="TextBox 25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768" name="TextBox 25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769" name="TextBox 25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770" name="TextBox 25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771" name="TextBox 25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772" name="TextBox 25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73" name="TextBox 25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74" name="TextBox 25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75" name="TextBox 25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76" name="TextBox 25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77" name="TextBox 25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78" name="TextBox 25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79" name="TextBox 25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80" name="TextBox 25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81" name="TextBox 25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82" name="TextBox 25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83" name="TextBox 25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84" name="TextBox 25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85" name="TextBox 25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86" name="TextBox 25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87" name="TextBox 25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88" name="TextBox 25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89" name="TextBox 25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90" name="TextBox 25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91" name="TextBox 25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92" name="TextBox 25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93" name="TextBox 25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94" name="TextBox 25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95" name="TextBox 25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96" name="TextBox 25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97" name="TextBox 25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98" name="TextBox 25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799" name="TextBox 25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00" name="TextBox 25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01" name="TextBox 25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02" name="TextBox 25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03" name="TextBox 25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04" name="TextBox 25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05" name="TextBox 25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06" name="TextBox 25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07" name="TextBox 25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08" name="TextBox 25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809" name="TextBox 25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810" name="TextBox 25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811" name="TextBox 25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812" name="TextBox 25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813" name="TextBox 25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814" name="TextBox 25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15" name="TextBox 25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16" name="TextBox 25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17" name="TextBox 25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18" name="TextBox 25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19" name="TextBox 25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20" name="TextBox 25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821" name="TextBox 25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822" name="TextBox 25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823" name="TextBox 25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824" name="TextBox 25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825" name="TextBox 25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826" name="TextBox 25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827" name="TextBox 25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828" name="TextBox 25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829" name="TextBox 25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830" name="TextBox 25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831" name="TextBox 25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832" name="TextBox 25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33" name="TextBox 25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34" name="TextBox 25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35" name="TextBox 25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36" name="TextBox 25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37" name="TextBox 25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38" name="TextBox 25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39" name="TextBox 25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40" name="TextBox 25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41" name="TextBox 25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42" name="TextBox 25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43" name="TextBox 25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44" name="TextBox 25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845" name="TextBox 25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846" name="TextBox 25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847" name="TextBox 25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848" name="TextBox 25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849" name="TextBox 25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850" name="TextBox 25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51" name="TextBox 25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52" name="TextBox 25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53" name="TextBox 25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54" name="TextBox 25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55" name="TextBox 25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56" name="TextBox 25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57" name="TextBox 25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58" name="TextBox 25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59" name="TextBox 25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60" name="TextBox 25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61" name="TextBox 25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62" name="TextBox 25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63" name="TextBox 25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64" name="TextBox 25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65" name="TextBox 25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66" name="TextBox 25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67" name="TextBox 25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68" name="TextBox 25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869" name="TextBox 25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870" name="TextBox 25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871" name="TextBox 25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872" name="TextBox 25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873" name="TextBox 25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874" name="TextBox 25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75" name="TextBox 25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76" name="TextBox 25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77" name="TextBox 25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78" name="TextBox 25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79" name="TextBox 25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80" name="TextBox 25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81" name="TextBox 25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82" name="TextBox 25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83" name="TextBox 25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84" name="TextBox 25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85" name="TextBox 25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86" name="TextBox 25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87" name="TextBox 25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88" name="TextBox 25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89" name="TextBox 25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90" name="TextBox 25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91" name="TextBox 25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92" name="TextBox 25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93" name="TextBox 25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94" name="TextBox 25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95" name="TextBox 25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96" name="TextBox 25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97" name="TextBox 25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898" name="TextBox 25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899" name="TextBox 25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900" name="TextBox 25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901" name="TextBox 25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902" name="TextBox 25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903" name="TextBox 25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904" name="TextBox 25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05" name="TextBox 25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06" name="TextBox 25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07" name="TextBox 25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08" name="TextBox 25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09" name="TextBox 25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10" name="TextBox 25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11" name="TextBox 25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12" name="TextBox 25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13" name="TextBox 25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14" name="TextBox 25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15" name="TextBox 25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16" name="TextBox 25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17" name="TextBox 25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18" name="TextBox 25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19" name="TextBox 25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20" name="TextBox 25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21" name="TextBox 25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22" name="TextBox 25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23" name="TextBox 25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24" name="TextBox 25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25" name="TextBox 25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26" name="TextBox 25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27" name="TextBox 25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28" name="TextBox 25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29" name="TextBox 25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30" name="TextBox 25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31" name="TextBox 25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32" name="TextBox 25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33" name="TextBox 25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34" name="TextBox 25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935" name="TextBox 25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936" name="TextBox 25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937" name="TextBox 25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938" name="TextBox 25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939" name="TextBox 25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940" name="TextBox 25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41" name="TextBox 25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42" name="TextBox 25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43" name="TextBox 25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44" name="TextBox 25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45" name="TextBox 25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46" name="TextBox 25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47" name="TextBox 25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48" name="TextBox 25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49" name="TextBox 25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50" name="TextBox 25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51" name="TextBox 25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52" name="TextBox 25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53" name="TextBox 25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54" name="TextBox 25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55" name="TextBox 25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56" name="TextBox 25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57" name="TextBox 25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58" name="TextBox 25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59" name="TextBox 25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60" name="TextBox 25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61" name="TextBox 25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62" name="TextBox 25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63" name="TextBox 25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64" name="TextBox 25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65" name="TextBox 25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66" name="TextBox 25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67" name="TextBox 25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68" name="TextBox 25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69" name="TextBox 25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70" name="TextBox 25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71" name="TextBox 25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72" name="TextBox 25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73" name="TextBox 25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74" name="TextBox 25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75" name="TextBox 25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76" name="TextBox 25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77" name="TextBox 25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78" name="TextBox 25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79" name="TextBox 25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80" name="TextBox 25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81" name="TextBox 25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82" name="TextBox 25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983" name="TextBox 25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984" name="TextBox 25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985" name="TextBox 25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986" name="TextBox 25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987" name="TextBox 25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5988" name="TextBox 25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89" name="TextBox 25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90" name="TextBox 25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91" name="TextBox 25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92" name="TextBox 25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93" name="TextBox 25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5994" name="TextBox 25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995" name="TextBox 25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996" name="TextBox 25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997" name="TextBox 25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998" name="TextBox 25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5999" name="TextBox 25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000" name="TextBox 25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001" name="TextBox 26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002" name="TextBox 26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003" name="TextBox 26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004" name="TextBox 26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005" name="TextBox 26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006" name="TextBox 26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07" name="TextBox 26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08" name="TextBox 26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09" name="TextBox 26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10" name="TextBox 26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11" name="TextBox 26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12" name="TextBox 26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13" name="TextBox 26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14" name="TextBox 26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15" name="TextBox 26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16" name="TextBox 26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17" name="TextBox 26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18" name="TextBox 26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019" name="TextBox 26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020" name="TextBox 26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021" name="TextBox 26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022" name="TextBox 26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023" name="TextBox 26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024" name="TextBox 26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25" name="TextBox 26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26" name="TextBox 26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27" name="TextBox 26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28" name="TextBox 26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29" name="TextBox 26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30" name="TextBox 26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31" name="TextBox 26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32" name="TextBox 26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33" name="TextBox 26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34" name="TextBox 26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35" name="TextBox 26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36" name="TextBox 26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37" name="TextBox 26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38" name="TextBox 26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39" name="TextBox 26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40" name="TextBox 26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41" name="TextBox 26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42" name="TextBox 26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043" name="TextBox 26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044" name="TextBox 26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045" name="TextBox 26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046" name="TextBox 26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047" name="TextBox 26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048" name="TextBox 26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49" name="TextBox 26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50" name="TextBox 26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51" name="TextBox 26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52" name="TextBox 26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53" name="TextBox 26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54" name="TextBox 26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55" name="TextBox 26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56" name="TextBox 26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57" name="TextBox 26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58" name="TextBox 26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59" name="TextBox 26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60" name="TextBox 26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61" name="TextBox 26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62" name="TextBox 26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63" name="TextBox 26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64" name="TextBox 26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65" name="TextBox 26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66" name="TextBox 26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67" name="TextBox 26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68" name="TextBox 26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69" name="TextBox 26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70" name="TextBox 26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71" name="TextBox 26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72" name="TextBox 26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073" name="TextBox 26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074" name="TextBox 26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075" name="TextBox 26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076" name="TextBox 26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077" name="TextBox 26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078" name="TextBox 26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79" name="TextBox 26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80" name="TextBox 26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81" name="TextBox 26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82" name="TextBox 26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83" name="TextBox 26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84" name="TextBox 26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85" name="TextBox 26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86" name="TextBox 26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87" name="TextBox 26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88" name="TextBox 26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89" name="TextBox 26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90" name="TextBox 26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91" name="TextBox 26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92" name="TextBox 26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93" name="TextBox 26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94" name="TextBox 26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95" name="TextBox 26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96" name="TextBox 26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97" name="TextBox 26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98" name="TextBox 26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099" name="TextBox 26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00" name="TextBox 26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01" name="TextBox 26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02" name="TextBox 26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03" name="TextBox 26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04" name="TextBox 26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05" name="TextBox 26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06" name="TextBox 26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07" name="TextBox 26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08" name="TextBox 26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109" name="TextBox 26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110" name="TextBox 26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111" name="TextBox 26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112" name="TextBox 26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113" name="TextBox 26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114" name="TextBox 26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15" name="TextBox 26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16" name="TextBox 26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17" name="TextBox 26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18" name="TextBox 26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19" name="TextBox 26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20" name="TextBox 26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21" name="TextBox 26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22" name="TextBox 26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23" name="TextBox 26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24" name="TextBox 26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25" name="TextBox 26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26" name="TextBox 26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27" name="TextBox 26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28" name="TextBox 26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29" name="TextBox 26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30" name="TextBox 26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31" name="TextBox 26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32" name="TextBox 26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33" name="TextBox 26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34" name="TextBox 26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35" name="TextBox 26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36" name="TextBox 26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37" name="TextBox 26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38" name="TextBox 26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39" name="TextBox 26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40" name="TextBox 26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41" name="TextBox 26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42" name="TextBox 26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43" name="TextBox 26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44" name="TextBox 26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45" name="TextBox 26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46" name="TextBox 26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47" name="TextBox 26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48" name="TextBox 26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49" name="TextBox 26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50" name="TextBox 26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151" name="TextBox 26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152" name="TextBox 26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153" name="TextBox 26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154" name="TextBox 26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155" name="TextBox 26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156" name="TextBox 26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57" name="TextBox 26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58" name="TextBox 26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59" name="TextBox 26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60" name="TextBox 26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61" name="TextBox 26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62" name="TextBox 26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63" name="TextBox 26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64" name="TextBox 26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65" name="TextBox 26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66" name="TextBox 26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67" name="TextBox 26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68" name="TextBox 26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69" name="TextBox 26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70" name="TextBox 26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71" name="TextBox 26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72" name="TextBox 26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73" name="TextBox 26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74" name="TextBox 26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75" name="TextBox 26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76" name="TextBox 26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77" name="TextBox 26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78" name="TextBox 26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79" name="TextBox 26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80" name="TextBox 26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81" name="TextBox 26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82" name="TextBox 26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83" name="TextBox 26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84" name="TextBox 26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85" name="TextBox 26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86" name="TextBox 26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87" name="TextBox 26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88" name="TextBox 26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89" name="TextBox 26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90" name="TextBox 26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91" name="TextBox 26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92" name="TextBox 26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193" name="TextBox 26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194" name="TextBox 26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195" name="TextBox 26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196" name="TextBox 26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197" name="TextBox 26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198" name="TextBox 26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199" name="TextBox 26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00" name="TextBox 26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01" name="TextBox 26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02" name="TextBox 26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03" name="TextBox 26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04" name="TextBox 26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05" name="TextBox 26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06" name="TextBox 26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07" name="TextBox 26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08" name="TextBox 26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09" name="TextBox 26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10" name="TextBox 26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11" name="TextBox 26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12" name="TextBox 26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13" name="TextBox 26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14" name="TextBox 26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15" name="TextBox 26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16" name="TextBox 26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17" name="TextBox 26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18" name="TextBox 26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19" name="TextBox 26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20" name="TextBox 26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21" name="TextBox 26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22" name="TextBox 26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23" name="TextBox 26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24" name="TextBox 26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25" name="TextBox 26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26" name="TextBox 26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27" name="TextBox 26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28" name="TextBox 26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29" name="TextBox 26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30" name="TextBox 26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31" name="TextBox 26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32" name="TextBox 26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33" name="TextBox 26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34" name="TextBox 26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35" name="TextBox 26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36" name="TextBox 26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37" name="TextBox 26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38" name="TextBox 26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39" name="TextBox 26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40" name="TextBox 26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41" name="TextBox 26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42" name="TextBox 26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43" name="TextBox 26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44" name="TextBox 26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45" name="TextBox 26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246" name="TextBox 26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6247" name="TextBox 26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6248" name="TextBox 26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6249" name="TextBox 26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6250" name="TextBox 26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6251" name="TextBox 26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63</xdr:row>
      <xdr:rowOff>0</xdr:rowOff>
    </xdr:from>
    <xdr:ext cx="184731" cy="264560"/>
    <xdr:sp macro="" textlink="">
      <xdr:nvSpPr>
        <xdr:cNvPr id="26252" name="TextBox 26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253" name="TextBox 26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254" name="TextBox 26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255" name="TextBox 26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256" name="TextBox 26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257" name="TextBox 26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258" name="TextBox 26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259" name="TextBox 26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260" name="TextBox 26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261" name="TextBox 26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262" name="TextBox 26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263" name="TextBox 26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264" name="TextBox 26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265" name="TextBox 26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266" name="TextBox 26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267" name="TextBox 26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268" name="TextBox 26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269" name="TextBox 26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270" name="TextBox 26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271" name="TextBox 26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272" name="TextBox 26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273" name="TextBox 26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274" name="TextBox 26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275" name="TextBox 26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276" name="TextBox 26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277" name="TextBox 26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278" name="TextBox 26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279" name="TextBox 26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280" name="TextBox 26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281" name="TextBox 26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282" name="TextBox 26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283" name="TextBox 26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284" name="TextBox 26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285" name="TextBox 26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286" name="TextBox 26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287" name="TextBox 26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288" name="TextBox 26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289" name="TextBox 26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290" name="TextBox 26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291" name="TextBox 26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292" name="TextBox 26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293" name="TextBox 26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294" name="TextBox 26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295" name="TextBox 26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296" name="TextBox 26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297" name="TextBox 26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298" name="TextBox 26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299" name="TextBox 26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00" name="TextBox 26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01" name="TextBox 26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02" name="TextBox 26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03" name="TextBox 26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04" name="TextBox 26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05" name="TextBox 26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06" name="TextBox 26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307" name="TextBox 26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308" name="TextBox 26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309" name="TextBox 26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310" name="TextBox 26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311" name="TextBox 26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312" name="TextBox 26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13" name="TextBox 26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14" name="TextBox 26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15" name="TextBox 26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16" name="TextBox 26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17" name="TextBox 26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18" name="TextBox 26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19" name="TextBox 26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20" name="TextBox 26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21" name="TextBox 26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22" name="TextBox 26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23" name="TextBox 26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24" name="TextBox 26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25" name="TextBox 26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26" name="TextBox 26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27" name="TextBox 26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28" name="TextBox 26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29" name="TextBox 26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30" name="TextBox 26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31" name="TextBox 26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32" name="TextBox 26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33" name="TextBox 26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34" name="TextBox 26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35" name="TextBox 26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36" name="TextBox 26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337" name="TextBox 26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338" name="TextBox 26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339" name="TextBox 26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340" name="TextBox 26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341" name="TextBox 26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342" name="TextBox 26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43" name="TextBox 26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44" name="TextBox 26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45" name="TextBox 26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46" name="TextBox 26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47" name="TextBox 26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48" name="TextBox 26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49" name="TextBox 26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50" name="TextBox 26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51" name="TextBox 26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52" name="TextBox 26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53" name="TextBox 26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54" name="TextBox 26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55" name="TextBox 26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56" name="TextBox 26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57" name="TextBox 26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58" name="TextBox 26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59" name="TextBox 26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60" name="TextBox 26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61" name="TextBox 26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62" name="TextBox 26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63" name="TextBox 26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64" name="TextBox 26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65" name="TextBox 26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66" name="TextBox 26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67" name="TextBox 26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68" name="TextBox 26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69" name="TextBox 26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70" name="TextBox 26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71" name="TextBox 26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72" name="TextBox 26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73" name="TextBox 26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74" name="TextBox 26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75" name="TextBox 26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76" name="TextBox 26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77" name="TextBox 26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78" name="TextBox 26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79" name="TextBox 26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80" name="TextBox 26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81" name="TextBox 26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82" name="TextBox 26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83" name="TextBox 26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84" name="TextBox 26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85" name="TextBox 26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86" name="TextBox 26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87" name="TextBox 26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88" name="TextBox 26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89" name="TextBox 26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90" name="TextBox 26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91" name="TextBox 26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92" name="TextBox 26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93" name="TextBox 26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94" name="TextBox 26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95" name="TextBox 26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396" name="TextBox 26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97" name="TextBox 26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98" name="TextBox 26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399" name="TextBox 26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400" name="TextBox 26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401" name="TextBox 26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402" name="TextBox 26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03" name="TextBox 26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04" name="TextBox 26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05" name="TextBox 26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06" name="TextBox 26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07" name="TextBox 26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08" name="TextBox 26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09" name="TextBox 26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10" name="TextBox 26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11" name="TextBox 26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12" name="TextBox 26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13" name="TextBox 26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14" name="TextBox 26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15" name="TextBox 26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16" name="TextBox 26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17" name="TextBox 26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18" name="TextBox 26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19" name="TextBox 26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20" name="TextBox 26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21" name="TextBox 26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22" name="TextBox 26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23" name="TextBox 26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24" name="TextBox 26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25" name="TextBox 26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26" name="TextBox 26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427" name="TextBox 26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428" name="TextBox 26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429" name="TextBox 26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430" name="TextBox 26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431" name="TextBox 26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432" name="TextBox 26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33" name="TextBox 26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34" name="TextBox 26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35" name="TextBox 26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36" name="TextBox 26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37" name="TextBox 26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38" name="TextBox 26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39" name="TextBox 26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40" name="TextBox 26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41" name="TextBox 26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42" name="TextBox 26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43" name="TextBox 26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44" name="TextBox 26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45" name="TextBox 26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46" name="TextBox 26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47" name="TextBox 26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48" name="TextBox 26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49" name="TextBox 26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50" name="TextBox 26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51" name="TextBox 26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52" name="TextBox 26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53" name="TextBox 26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54" name="TextBox 26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55" name="TextBox 26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56" name="TextBox 26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57" name="TextBox 26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58" name="TextBox 26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59" name="TextBox 26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60" name="TextBox 26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61" name="TextBox 26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62" name="TextBox 26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63" name="TextBox 26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64" name="TextBox 26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65" name="TextBox 26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66" name="TextBox 26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67" name="TextBox 26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68" name="TextBox 26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69" name="TextBox 26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70" name="TextBox 26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71" name="TextBox 26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72" name="TextBox 26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73" name="TextBox 26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74" name="TextBox 26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75" name="TextBox 26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76" name="TextBox 26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77" name="TextBox 26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78" name="TextBox 26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79" name="TextBox 26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80" name="TextBox 26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81" name="TextBox 26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82" name="TextBox 26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83" name="TextBox 26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84" name="TextBox 26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85" name="TextBox 26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86" name="TextBox 26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87" name="TextBox 26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88" name="TextBox 26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89" name="TextBox 26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90" name="TextBox 26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91" name="TextBox 26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492" name="TextBox 26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93" name="TextBox 26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94" name="TextBox 26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95" name="TextBox 26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96" name="TextBox 26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97" name="TextBox 26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98" name="TextBox 26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499" name="TextBox 26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00" name="TextBox 26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01" name="TextBox 26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02" name="TextBox 26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03" name="TextBox 26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04" name="TextBox 26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05" name="TextBox 26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06" name="TextBox 26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07" name="TextBox 26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08" name="TextBox 26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09" name="TextBox 26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10" name="TextBox 26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11" name="TextBox 26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12" name="TextBox 26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13" name="TextBox 26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14" name="TextBox 26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15" name="TextBox 26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16" name="TextBox 26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517" name="TextBox 26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518" name="TextBox 26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519" name="TextBox 26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520" name="TextBox 26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521" name="TextBox 26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522" name="TextBox 26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23" name="TextBox 26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24" name="TextBox 26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25" name="TextBox 26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26" name="TextBox 26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27" name="TextBox 26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28" name="TextBox 26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29" name="TextBox 26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30" name="TextBox 26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31" name="TextBox 26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32" name="TextBox 26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33" name="TextBox 26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34" name="TextBox 26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35" name="TextBox 26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36" name="TextBox 26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37" name="TextBox 26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38" name="TextBox 26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39" name="TextBox 26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40" name="TextBox 26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41" name="TextBox 26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42" name="TextBox 26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43" name="TextBox 26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44" name="TextBox 26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45" name="TextBox 26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46" name="TextBox 26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547" name="TextBox 26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548" name="TextBox 26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549" name="TextBox 26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550" name="TextBox 26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551" name="TextBox 26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552" name="TextBox 26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53" name="TextBox 26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54" name="TextBox 26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55" name="TextBox 26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56" name="TextBox 26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57" name="TextBox 26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58" name="TextBox 26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59" name="TextBox 26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60" name="TextBox 26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61" name="TextBox 26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62" name="TextBox 26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63" name="TextBox 26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64" name="TextBox 26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65" name="TextBox 26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66" name="TextBox 26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67" name="TextBox 26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68" name="TextBox 26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69" name="TextBox 26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70" name="TextBox 26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71" name="TextBox 26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72" name="TextBox 26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73" name="TextBox 26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74" name="TextBox 26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75" name="TextBox 26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76" name="TextBox 26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77" name="TextBox 26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78" name="TextBox 26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79" name="TextBox 26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80" name="TextBox 26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81" name="TextBox 26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82" name="TextBox 26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83" name="TextBox 26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84" name="TextBox 26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85" name="TextBox 26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86" name="TextBox 26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87" name="TextBox 26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588" name="TextBox 26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589" name="TextBox 26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590" name="TextBox 26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591" name="TextBox 26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592" name="TextBox 26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593" name="TextBox 26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6594" name="TextBox 26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595" name="TextBox 26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596" name="TextBox 26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597" name="TextBox 26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598" name="TextBox 26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599" name="TextBox 26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00" name="TextBox 26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601" name="TextBox 26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602" name="TextBox 26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603" name="TextBox 26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604" name="TextBox 26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605" name="TextBox 26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606" name="TextBox 26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607" name="TextBox 26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608" name="TextBox 26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609" name="TextBox 26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610" name="TextBox 26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611" name="TextBox 26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612" name="TextBox 26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13" name="TextBox 26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14" name="TextBox 26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15" name="TextBox 26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16" name="TextBox 26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17" name="TextBox 26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18" name="TextBox 26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19" name="TextBox 26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20" name="TextBox 26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21" name="TextBox 26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22" name="TextBox 26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23" name="TextBox 26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24" name="TextBox 26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625" name="TextBox 26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626" name="TextBox 26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627" name="TextBox 26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628" name="TextBox 26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629" name="TextBox 26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630" name="TextBox 26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31" name="TextBox 26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32" name="TextBox 26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33" name="TextBox 26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34" name="TextBox 26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35" name="TextBox 26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36" name="TextBox 26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37" name="TextBox 26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38" name="TextBox 26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39" name="TextBox 26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40" name="TextBox 26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41" name="TextBox 26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42" name="TextBox 26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43" name="TextBox 26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44" name="TextBox 26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45" name="TextBox 26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46" name="TextBox 26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47" name="TextBox 26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48" name="TextBox 26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649" name="TextBox 26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650" name="TextBox 26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651" name="TextBox 26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652" name="TextBox 26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653" name="TextBox 26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654" name="TextBox 26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55" name="TextBox 26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56" name="TextBox 26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57" name="TextBox 26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58" name="TextBox 26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59" name="TextBox 26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60" name="TextBox 26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61" name="TextBox 26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62" name="TextBox 26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63" name="TextBox 26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64" name="TextBox 26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65" name="TextBox 26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66" name="TextBox 26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67" name="TextBox 26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68" name="TextBox 26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69" name="TextBox 26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70" name="TextBox 26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71" name="TextBox 26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72" name="TextBox 26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73" name="TextBox 26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74" name="TextBox 26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75" name="TextBox 26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76" name="TextBox 26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77" name="TextBox 26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78" name="TextBox 26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679" name="TextBox 26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680" name="TextBox 26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681" name="TextBox 26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682" name="TextBox 26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683" name="TextBox 26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684" name="TextBox 26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685" name="TextBox 26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686" name="TextBox 26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687" name="TextBox 26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688" name="TextBox 26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689" name="TextBox 26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690" name="TextBox 26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91" name="TextBox 26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92" name="TextBox 26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93" name="TextBox 26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94" name="TextBox 26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95" name="TextBox 26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96" name="TextBox 26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97" name="TextBox 26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98" name="TextBox 26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699" name="TextBox 26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700" name="TextBox 26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701" name="TextBox 26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702" name="TextBox 26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03" name="TextBox 26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04" name="TextBox 26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05" name="TextBox 26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06" name="TextBox 26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07" name="TextBox 26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08" name="TextBox 26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09" name="TextBox 26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10" name="TextBox 26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11" name="TextBox 26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12" name="TextBox 26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13" name="TextBox 26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14" name="TextBox 26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715" name="TextBox 26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716" name="TextBox 26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717" name="TextBox 26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718" name="TextBox 26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719" name="TextBox 26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720" name="TextBox 26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21" name="TextBox 26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22" name="TextBox 26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23" name="TextBox 26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24" name="TextBox 26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25" name="TextBox 26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26" name="TextBox 26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27" name="TextBox 26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28" name="TextBox 26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29" name="TextBox 26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30" name="TextBox 26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31" name="TextBox 26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32" name="TextBox 26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33" name="TextBox 26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34" name="TextBox 26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35" name="TextBox 26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36" name="TextBox 26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37" name="TextBox 26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38" name="TextBox 26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739" name="TextBox 26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740" name="TextBox 26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741" name="TextBox 26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742" name="TextBox 26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743" name="TextBox 26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744" name="TextBox 26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45" name="TextBox 26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46" name="TextBox 26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47" name="TextBox 26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48" name="TextBox 26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49" name="TextBox 26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50" name="TextBox 26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51" name="TextBox 26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52" name="TextBox 26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53" name="TextBox 26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54" name="TextBox 26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55" name="TextBox 26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56" name="TextBox 26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57" name="TextBox 26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58" name="TextBox 26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59" name="TextBox 26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60" name="TextBox 26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61" name="TextBox 26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62" name="TextBox 26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63" name="TextBox 26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64" name="TextBox 26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65" name="TextBox 26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66" name="TextBox 26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67" name="TextBox 26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68" name="TextBox 26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769" name="TextBox 26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770" name="TextBox 26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771" name="TextBox 26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772" name="TextBox 26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773" name="TextBox 26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774" name="TextBox 26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75" name="TextBox 26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76" name="TextBox 26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77" name="TextBox 26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78" name="TextBox 26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79" name="TextBox 26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80" name="TextBox 26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81" name="TextBox 26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82" name="TextBox 26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83" name="TextBox 26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84" name="TextBox 26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85" name="TextBox 26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86" name="TextBox 26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87" name="TextBox 26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88" name="TextBox 26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89" name="TextBox 26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90" name="TextBox 26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91" name="TextBox 26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92" name="TextBox 26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93" name="TextBox 26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94" name="TextBox 26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95" name="TextBox 26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96" name="TextBox 26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97" name="TextBox 26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98" name="TextBox 26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799" name="TextBox 26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00" name="TextBox 26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01" name="TextBox 26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02" name="TextBox 26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03" name="TextBox 26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04" name="TextBox 26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05" name="TextBox 26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06" name="TextBox 26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07" name="TextBox 26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08" name="TextBox 26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09" name="TextBox 26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10" name="TextBox 26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811" name="TextBox 26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812" name="TextBox 26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813" name="TextBox 26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814" name="TextBox 26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815" name="TextBox 26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6816" name="TextBox 26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17" name="TextBox 26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18" name="TextBox 26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19" name="TextBox 26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20" name="TextBox 26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21" name="TextBox 26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22" name="TextBox 26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823" name="TextBox 26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824" name="TextBox 26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825" name="TextBox 26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826" name="TextBox 26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827" name="TextBox 26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828" name="TextBox 26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829" name="TextBox 26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830" name="TextBox 26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831" name="TextBox 26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832" name="TextBox 26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833" name="TextBox 26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834" name="TextBox 26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35" name="TextBox 26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36" name="TextBox 26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37" name="TextBox 26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38" name="TextBox 26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39" name="TextBox 26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40" name="TextBox 26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41" name="TextBox 26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42" name="TextBox 26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43" name="TextBox 26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44" name="TextBox 26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45" name="TextBox 26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46" name="TextBox 26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847" name="TextBox 26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848" name="TextBox 26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849" name="TextBox 26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850" name="TextBox 26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851" name="TextBox 26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852" name="TextBox 26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53" name="TextBox 26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54" name="TextBox 26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55" name="TextBox 26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56" name="TextBox 26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57" name="TextBox 26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58" name="TextBox 26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59" name="TextBox 26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60" name="TextBox 26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61" name="TextBox 26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62" name="TextBox 26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63" name="TextBox 26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64" name="TextBox 26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65" name="TextBox 26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66" name="TextBox 26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67" name="TextBox 26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68" name="TextBox 26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69" name="TextBox 26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70" name="TextBox 26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871" name="TextBox 26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872" name="TextBox 26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873" name="TextBox 26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874" name="TextBox 26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875" name="TextBox 26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876" name="TextBox 26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77" name="TextBox 26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78" name="TextBox 26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79" name="TextBox 26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80" name="TextBox 26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81" name="TextBox 26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82" name="TextBox 26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83" name="TextBox 26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84" name="TextBox 26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85" name="TextBox 26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86" name="TextBox 26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87" name="TextBox 26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88" name="TextBox 26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89" name="TextBox 26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90" name="TextBox 26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91" name="TextBox 26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92" name="TextBox 26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93" name="TextBox 26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94" name="TextBox 26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95" name="TextBox 26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96" name="TextBox 26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97" name="TextBox 26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98" name="TextBox 26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899" name="TextBox 26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00" name="TextBox 26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901" name="TextBox 26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902" name="TextBox 26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903" name="TextBox 26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904" name="TextBox 26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905" name="TextBox 26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906" name="TextBox 26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07" name="TextBox 26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08" name="TextBox 26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09" name="TextBox 26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10" name="TextBox 26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11" name="TextBox 26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12" name="TextBox 26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13" name="TextBox 26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14" name="TextBox 26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15" name="TextBox 26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16" name="TextBox 26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17" name="TextBox 26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18" name="TextBox 26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19" name="TextBox 26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20" name="TextBox 26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21" name="TextBox 26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22" name="TextBox 26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23" name="TextBox 26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24" name="TextBox 26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25" name="TextBox 26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26" name="TextBox 26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27" name="TextBox 26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28" name="TextBox 26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29" name="TextBox 26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30" name="TextBox 26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31" name="TextBox 26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32" name="TextBox 26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33" name="TextBox 26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34" name="TextBox 26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35" name="TextBox 26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36" name="TextBox 26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937" name="TextBox 26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938" name="TextBox 26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939" name="TextBox 26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940" name="TextBox 26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941" name="TextBox 26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942" name="TextBox 26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43" name="TextBox 26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44" name="TextBox 26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45" name="TextBox 26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46" name="TextBox 26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47" name="TextBox 26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48" name="TextBox 26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49" name="TextBox 26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50" name="TextBox 26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51" name="TextBox 26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52" name="TextBox 26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53" name="TextBox 26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54" name="TextBox 26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55" name="TextBox 26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56" name="TextBox 26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57" name="TextBox 26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58" name="TextBox 26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59" name="TextBox 26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60" name="TextBox 26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61" name="TextBox 26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62" name="TextBox 26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63" name="TextBox 26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64" name="TextBox 26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65" name="TextBox 26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66" name="TextBox 26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67" name="TextBox 26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68" name="TextBox 26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69" name="TextBox 26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70" name="TextBox 26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71" name="TextBox 26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72" name="TextBox 26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973" name="TextBox 26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974" name="TextBox 26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975" name="TextBox 26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976" name="TextBox 26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977" name="TextBox 26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6978" name="TextBox 26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79" name="TextBox 26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80" name="TextBox 26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81" name="TextBox 26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82" name="TextBox 26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83" name="TextBox 26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84" name="TextBox 26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85" name="TextBox 26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86" name="TextBox 26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87" name="TextBox 26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88" name="TextBox 26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89" name="TextBox 26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90" name="TextBox 26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91" name="TextBox 26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92" name="TextBox 26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93" name="TextBox 26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94" name="TextBox 26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95" name="TextBox 26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96" name="TextBox 26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97" name="TextBox 26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98" name="TextBox 26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6999" name="TextBox 26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00" name="TextBox 26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01" name="TextBox 27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02" name="TextBox 27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03" name="TextBox 27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04" name="TextBox 27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05" name="TextBox 27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06" name="TextBox 27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07" name="TextBox 27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08" name="TextBox 27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09" name="TextBox 27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10" name="TextBox 27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11" name="TextBox 27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12" name="TextBox 27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13" name="TextBox 27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14" name="TextBox 27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15" name="TextBox 27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16" name="TextBox 27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17" name="TextBox 27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18" name="TextBox 27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19" name="TextBox 27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020" name="TextBox 27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7021" name="TextBox 27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7022" name="TextBox 27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7023" name="TextBox 27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7024" name="TextBox 27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7025" name="TextBox 27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84731" cy="264560"/>
    <xdr:sp macro="" textlink="">
      <xdr:nvSpPr>
        <xdr:cNvPr id="27026" name="TextBox 27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27" name="TextBox 27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28" name="TextBox 27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29" name="TextBox 27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30" name="TextBox 27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31" name="TextBox 27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32" name="TextBox 27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033" name="TextBox 27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034" name="TextBox 27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035" name="TextBox 27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036" name="TextBox 27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037" name="TextBox 27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038" name="TextBox 27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039" name="TextBox 27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040" name="TextBox 27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041" name="TextBox 27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042" name="TextBox 27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043" name="TextBox 27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044" name="TextBox 27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45" name="TextBox 27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46" name="TextBox 27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47" name="TextBox 27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48" name="TextBox 27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49" name="TextBox 27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50" name="TextBox 27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51" name="TextBox 27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52" name="TextBox 27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53" name="TextBox 27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54" name="TextBox 27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55" name="TextBox 27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56" name="TextBox 27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057" name="TextBox 27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058" name="TextBox 27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059" name="TextBox 27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060" name="TextBox 27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061" name="TextBox 27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062" name="TextBox 27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63" name="TextBox 27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64" name="TextBox 27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65" name="TextBox 27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66" name="TextBox 27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67" name="TextBox 27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68" name="TextBox 27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69" name="TextBox 27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70" name="TextBox 27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71" name="TextBox 27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72" name="TextBox 27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73" name="TextBox 27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74" name="TextBox 27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75" name="TextBox 27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76" name="TextBox 27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77" name="TextBox 27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78" name="TextBox 27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79" name="TextBox 27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80" name="TextBox 27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081" name="TextBox 27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082" name="TextBox 27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083" name="TextBox 27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084" name="TextBox 27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085" name="TextBox 27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086" name="TextBox 27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87" name="TextBox 27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88" name="TextBox 27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89" name="TextBox 27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90" name="TextBox 27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91" name="TextBox 27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92" name="TextBox 27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93" name="TextBox 27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94" name="TextBox 27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95" name="TextBox 27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96" name="TextBox 27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97" name="TextBox 27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98" name="TextBox 27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099" name="TextBox 27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00" name="TextBox 27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01" name="TextBox 27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02" name="TextBox 27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03" name="TextBox 27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04" name="TextBox 27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05" name="TextBox 27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06" name="TextBox 27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07" name="TextBox 27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08" name="TextBox 27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09" name="TextBox 27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10" name="TextBox 27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111" name="TextBox 27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112" name="TextBox 27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113" name="TextBox 27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114" name="TextBox 27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115" name="TextBox 27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116" name="TextBox 27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17" name="TextBox 27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18" name="TextBox 27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19" name="TextBox 27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20" name="TextBox 27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21" name="TextBox 27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22" name="TextBox 27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23" name="TextBox 27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24" name="TextBox 27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25" name="TextBox 27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26" name="TextBox 27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27" name="TextBox 27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28" name="TextBox 27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29" name="TextBox 27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30" name="TextBox 27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31" name="TextBox 27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32" name="TextBox 27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33" name="TextBox 27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34" name="TextBox 27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35" name="TextBox 27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36" name="TextBox 27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37" name="TextBox 27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38" name="TextBox 27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39" name="TextBox 27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40" name="TextBox 27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41" name="TextBox 27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42" name="TextBox 27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43" name="TextBox 27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44" name="TextBox 27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45" name="TextBox 27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46" name="TextBox 27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47" name="TextBox 27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48" name="TextBox 27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49" name="TextBox 27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50" name="TextBox 27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51" name="TextBox 27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52" name="TextBox 27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53" name="TextBox 27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54" name="TextBox 27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55" name="TextBox 27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56" name="TextBox 27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57" name="TextBox 27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58" name="TextBox 27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59" name="TextBox 27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60" name="TextBox 27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61" name="TextBox 27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62" name="TextBox 27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63" name="TextBox 27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64" name="TextBox 27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65" name="TextBox 27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66" name="TextBox 27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67" name="TextBox 27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68" name="TextBox 27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69" name="TextBox 27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70" name="TextBox 27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71" name="TextBox 27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72" name="TextBox 27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73" name="TextBox 27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74" name="TextBox 27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75" name="TextBox 27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176" name="TextBox 27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77" name="TextBox 27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78" name="TextBox 27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79" name="TextBox 27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80" name="TextBox 27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81" name="TextBox 27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82" name="TextBox 27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83" name="TextBox 27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84" name="TextBox 27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85" name="TextBox 27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86" name="TextBox 27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87" name="TextBox 27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88" name="TextBox 27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89" name="TextBox 27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90" name="TextBox 27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91" name="TextBox 27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92" name="TextBox 27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93" name="TextBox 27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94" name="TextBox 27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95" name="TextBox 27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96" name="TextBox 27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97" name="TextBox 27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98" name="TextBox 27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199" name="TextBox 27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00" name="TextBox 27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201" name="TextBox 27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202" name="TextBox 27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203" name="TextBox 27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204" name="TextBox 27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205" name="TextBox 27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206" name="TextBox 27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07" name="TextBox 27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08" name="TextBox 27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09" name="TextBox 27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10" name="TextBox 27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11" name="TextBox 27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12" name="TextBox 27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13" name="TextBox 27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14" name="TextBox 27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15" name="TextBox 27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16" name="TextBox 27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17" name="TextBox 27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18" name="TextBox 27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19" name="TextBox 27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20" name="TextBox 27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21" name="TextBox 27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22" name="TextBox 27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23" name="TextBox 27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24" name="TextBox 27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25" name="TextBox 27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26" name="TextBox 27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27" name="TextBox 27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28" name="TextBox 27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29" name="TextBox 27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30" name="TextBox 27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31" name="TextBox 27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32" name="TextBox 27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33" name="TextBox 27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34" name="TextBox 27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35" name="TextBox 27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36" name="TextBox 27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37" name="TextBox 27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38" name="TextBox 27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39" name="TextBox 27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40" name="TextBox 27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41" name="TextBox 27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42" name="TextBox 27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243" name="TextBox 27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244" name="TextBox 27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245" name="TextBox 27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246" name="TextBox 27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247" name="TextBox 27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248" name="TextBox 27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49" name="TextBox 27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50" name="TextBox 27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51" name="TextBox 27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52" name="TextBox 27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53" name="TextBox 27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54" name="TextBox 27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255" name="TextBox 27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256" name="TextBox 27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257" name="TextBox 27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258" name="TextBox 27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259" name="TextBox 27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260" name="TextBox 27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261" name="TextBox 27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262" name="TextBox 27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263" name="TextBox 27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264" name="TextBox 27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265" name="TextBox 27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266" name="TextBox 27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67" name="TextBox 27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68" name="TextBox 27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69" name="TextBox 27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70" name="TextBox 27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71" name="TextBox 27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72" name="TextBox 27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73" name="TextBox 27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74" name="TextBox 27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75" name="TextBox 27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76" name="TextBox 27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77" name="TextBox 27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78" name="TextBox 27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279" name="TextBox 27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280" name="TextBox 27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281" name="TextBox 27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282" name="TextBox 27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283" name="TextBox 27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284" name="TextBox 27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85" name="TextBox 27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86" name="TextBox 27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87" name="TextBox 27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88" name="TextBox 27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89" name="TextBox 27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90" name="TextBox 27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91" name="TextBox 27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92" name="TextBox 27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93" name="TextBox 27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94" name="TextBox 27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95" name="TextBox 27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96" name="TextBox 27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97" name="TextBox 27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98" name="TextBox 27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299" name="TextBox 27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00" name="TextBox 27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01" name="TextBox 27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02" name="TextBox 27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303" name="TextBox 27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304" name="TextBox 27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305" name="TextBox 27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306" name="TextBox 27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307" name="TextBox 27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308" name="TextBox 27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09" name="TextBox 27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10" name="TextBox 27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11" name="TextBox 27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12" name="TextBox 27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13" name="TextBox 27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14" name="TextBox 27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15" name="TextBox 27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16" name="TextBox 27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17" name="TextBox 27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18" name="TextBox 27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19" name="TextBox 27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20" name="TextBox 27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21" name="TextBox 27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22" name="TextBox 27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23" name="TextBox 27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24" name="TextBox 27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25" name="TextBox 27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26" name="TextBox 27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27" name="TextBox 27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28" name="TextBox 27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29" name="TextBox 27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30" name="TextBox 27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31" name="TextBox 27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32" name="TextBox 27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333" name="TextBox 27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334" name="TextBox 27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335" name="TextBox 27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336" name="TextBox 27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337" name="TextBox 27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338" name="TextBox 27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39" name="TextBox 27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40" name="TextBox 27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41" name="TextBox 27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42" name="TextBox 27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43" name="TextBox 27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44" name="TextBox 27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45" name="TextBox 27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46" name="TextBox 27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47" name="TextBox 27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48" name="TextBox 27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49" name="TextBox 27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50" name="TextBox 27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51" name="TextBox 27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52" name="TextBox 27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53" name="TextBox 27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54" name="TextBox 27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55" name="TextBox 27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56" name="TextBox 27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57" name="TextBox 27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58" name="TextBox 27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59" name="TextBox 27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60" name="TextBox 27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61" name="TextBox 27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62" name="TextBox 27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63" name="TextBox 27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64" name="TextBox 27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65" name="TextBox 27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66" name="TextBox 27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67" name="TextBox 27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68" name="TextBox 27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369" name="TextBox 27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370" name="TextBox 27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371" name="TextBox 27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372" name="TextBox 27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373" name="TextBox 27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374" name="TextBox 27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75" name="TextBox 27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76" name="TextBox 27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77" name="TextBox 27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78" name="TextBox 27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79" name="TextBox 27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80" name="TextBox 27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81" name="TextBox 27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82" name="TextBox 27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83" name="TextBox 27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84" name="TextBox 27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85" name="TextBox 27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86" name="TextBox 27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87" name="TextBox 27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88" name="TextBox 27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89" name="TextBox 27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90" name="TextBox 27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91" name="TextBox 27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92" name="TextBox 27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93" name="TextBox 27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94" name="TextBox 27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95" name="TextBox 27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96" name="TextBox 27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97" name="TextBox 27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98" name="TextBox 27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399" name="TextBox 27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00" name="TextBox 27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01" name="TextBox 27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02" name="TextBox 27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03" name="TextBox 27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04" name="TextBox 27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05" name="TextBox 27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06" name="TextBox 27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07" name="TextBox 27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08" name="TextBox 27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09" name="TextBox 27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10" name="TextBox 27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11" name="TextBox 27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12" name="TextBox 27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13" name="TextBox 27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14" name="TextBox 27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15" name="TextBox 27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16" name="TextBox 27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417" name="TextBox 27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418" name="TextBox 27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419" name="TextBox 27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420" name="TextBox 27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421" name="TextBox 27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27422" name="TextBox 27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23" name="TextBox 27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24" name="TextBox 27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25" name="TextBox 27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26" name="TextBox 27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27" name="TextBox 27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28" name="TextBox 27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429" name="TextBox 27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430" name="TextBox 27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431" name="TextBox 27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432" name="TextBox 27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433" name="TextBox 27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434" name="TextBox 27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435" name="TextBox 27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436" name="TextBox 27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437" name="TextBox 27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438" name="TextBox 27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439" name="TextBox 27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440" name="TextBox 27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41" name="TextBox 27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42" name="TextBox 27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43" name="TextBox 27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44" name="TextBox 27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45" name="TextBox 27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46" name="TextBox 27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47" name="TextBox 27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48" name="TextBox 27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49" name="TextBox 27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50" name="TextBox 27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51" name="TextBox 27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52" name="TextBox 27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453" name="TextBox 27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454" name="TextBox 27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455" name="TextBox 27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456" name="TextBox 27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457" name="TextBox 27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458" name="TextBox 27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59" name="TextBox 27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60" name="TextBox 27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61" name="TextBox 27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62" name="TextBox 27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63" name="TextBox 27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64" name="TextBox 27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65" name="TextBox 27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66" name="TextBox 27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67" name="TextBox 27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68" name="TextBox 27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69" name="TextBox 27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70" name="TextBox 27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71" name="TextBox 27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72" name="TextBox 27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73" name="TextBox 27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74" name="TextBox 27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75" name="TextBox 27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76" name="TextBox 27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477" name="TextBox 27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478" name="TextBox 27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479" name="TextBox 27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480" name="TextBox 27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481" name="TextBox 27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482" name="TextBox 27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83" name="TextBox 27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84" name="TextBox 27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85" name="TextBox 27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86" name="TextBox 27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87" name="TextBox 27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88" name="TextBox 27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89" name="TextBox 27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90" name="TextBox 27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91" name="TextBox 27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92" name="TextBox 27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93" name="TextBox 27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94" name="TextBox 27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95" name="TextBox 27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96" name="TextBox 27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97" name="TextBox 27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98" name="TextBox 27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499" name="TextBox 27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00" name="TextBox 27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01" name="TextBox 27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02" name="TextBox 27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03" name="TextBox 27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04" name="TextBox 27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05" name="TextBox 27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06" name="TextBox 27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507" name="TextBox 27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508" name="TextBox 27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509" name="TextBox 27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510" name="TextBox 27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511" name="TextBox 27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512" name="TextBox 27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13" name="TextBox 27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14" name="TextBox 27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15" name="TextBox 27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16" name="TextBox 27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17" name="TextBox 27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18" name="TextBox 27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19" name="TextBox 27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20" name="TextBox 27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21" name="TextBox 27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22" name="TextBox 27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23" name="TextBox 27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24" name="TextBox 27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25" name="TextBox 27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26" name="TextBox 27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27" name="TextBox 27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28" name="TextBox 27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29" name="TextBox 27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30" name="TextBox 27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31" name="TextBox 27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32" name="TextBox 27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33" name="TextBox 27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34" name="TextBox 27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35" name="TextBox 27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36" name="TextBox 27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37" name="TextBox 27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38" name="TextBox 27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39" name="TextBox 27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40" name="TextBox 27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41" name="TextBox 27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42" name="TextBox 27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543" name="TextBox 27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544" name="TextBox 27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545" name="TextBox 27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546" name="TextBox 27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547" name="TextBox 27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548" name="TextBox 27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49" name="TextBox 27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50" name="TextBox 27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51" name="TextBox 27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52" name="TextBox 27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53" name="TextBox 27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54" name="TextBox 27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55" name="TextBox 27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56" name="TextBox 27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57" name="TextBox 27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58" name="TextBox 27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59" name="TextBox 27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60" name="TextBox 27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61" name="TextBox 27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62" name="TextBox 27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63" name="TextBox 27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64" name="TextBox 27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65" name="TextBox 27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66" name="TextBox 27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67" name="TextBox 27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68" name="TextBox 27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69" name="TextBox 27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70" name="TextBox 27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71" name="TextBox 27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72" name="TextBox 27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73" name="TextBox 27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74" name="TextBox 27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75" name="TextBox 27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76" name="TextBox 27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77" name="TextBox 27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78" name="TextBox 27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79" name="TextBox 27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80" name="TextBox 27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81" name="TextBox 27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82" name="TextBox 27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83" name="TextBox 27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84" name="TextBox 27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585" name="TextBox 27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586" name="TextBox 27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587" name="TextBox 27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588" name="TextBox 27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589" name="TextBox 27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590" name="TextBox 27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91" name="TextBox 27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92" name="TextBox 27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93" name="TextBox 27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94" name="TextBox 27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95" name="TextBox 27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96" name="TextBox 27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97" name="TextBox 27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98" name="TextBox 27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599" name="TextBox 27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00" name="TextBox 27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01" name="TextBox 27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02" name="TextBox 27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03" name="TextBox 27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04" name="TextBox 27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05" name="TextBox 27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06" name="TextBox 27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07" name="TextBox 27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08" name="TextBox 27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09" name="TextBox 27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10" name="TextBox 27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11" name="TextBox 27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12" name="TextBox 27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13" name="TextBox 27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14" name="TextBox 27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15" name="TextBox 27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16" name="TextBox 27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17" name="TextBox 27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18" name="TextBox 27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19" name="TextBox 27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20" name="TextBox 27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21" name="TextBox 27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22" name="TextBox 27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23" name="TextBox 27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24" name="TextBox 27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25" name="TextBox 27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26" name="TextBox 27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627" name="TextBox 27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628" name="TextBox 27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629" name="TextBox 27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630" name="TextBox 27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631" name="TextBox 27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63</xdr:row>
      <xdr:rowOff>0</xdr:rowOff>
    </xdr:from>
    <xdr:ext cx="184731" cy="264560"/>
    <xdr:sp macro="" textlink="">
      <xdr:nvSpPr>
        <xdr:cNvPr id="27632" name="TextBox 27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33" name="TextBox 27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34" name="TextBox 27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35" name="TextBox 27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36" name="TextBox 27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37" name="TextBox 27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38" name="TextBox 27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39" name="TextBox 27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40" name="TextBox 27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41" name="TextBox 27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42" name="TextBox 27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43" name="TextBox 27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44" name="TextBox 27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45" name="TextBox 27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46" name="TextBox 27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47" name="TextBox 27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48" name="TextBox 27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49" name="TextBox 27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50" name="TextBox 27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51" name="TextBox 27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52" name="TextBox 27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53" name="TextBox 27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54" name="TextBox 27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55" name="TextBox 27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56" name="TextBox 27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57" name="TextBox 27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58" name="TextBox 27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59" name="TextBox 27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60" name="TextBox 27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61" name="TextBox 27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62" name="TextBox 27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63" name="TextBox 27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64" name="TextBox 27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65" name="TextBox 27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66" name="TextBox 27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67" name="TextBox 27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68" name="TextBox 27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69" name="TextBox 27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70" name="TextBox 27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71" name="TextBox 27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72" name="TextBox 27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73" name="TextBox 27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74" name="TextBox 27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75" name="TextBox 27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76" name="TextBox 27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77" name="TextBox 27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78" name="TextBox 27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79" name="TextBox 27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84731" cy="264560"/>
    <xdr:sp macro="" textlink="">
      <xdr:nvSpPr>
        <xdr:cNvPr id="27680" name="TextBox 27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T74"/>
  <sheetViews>
    <sheetView view="pageBreakPreview" topLeftCell="A16" zoomScale="60" zoomScaleNormal="100" workbookViewId="0">
      <selection activeCell="Q37" sqref="Q37"/>
    </sheetView>
  </sheetViews>
  <sheetFormatPr defaultRowHeight="12.75" x14ac:dyDescent="0.2"/>
  <cols>
    <col min="1" max="1" width="62.42578125" style="1" customWidth="1"/>
    <col min="2" max="2" width="8.42578125" style="17" customWidth="1"/>
    <col min="3" max="3" width="7" style="17" customWidth="1"/>
    <col min="4" max="8" width="20.140625" style="2" hidden="1" customWidth="1"/>
    <col min="9" max="11" width="19.85546875" style="2" hidden="1" customWidth="1"/>
    <col min="12" max="12" width="22.140625" style="2" customWidth="1"/>
    <col min="13" max="13" width="19.85546875" style="2" hidden="1" customWidth="1"/>
    <col min="14" max="14" width="20.42578125" style="2" hidden="1" customWidth="1"/>
    <col min="15" max="16" width="18.140625" style="2" hidden="1" customWidth="1"/>
    <col min="17" max="17" width="19.5703125" style="2" customWidth="1"/>
    <col min="18" max="18" width="23.5703125" style="2" hidden="1" customWidth="1"/>
    <col min="19" max="19" width="16.85546875" style="2" hidden="1" customWidth="1"/>
    <col min="20" max="20" width="24.7109375" style="2" customWidth="1"/>
    <col min="21" max="16384" width="9.140625" style="2"/>
  </cols>
  <sheetData>
    <row r="1" spans="1:20" ht="9" customHeight="1" x14ac:dyDescent="0.3">
      <c r="A1" s="33"/>
      <c r="B1" s="43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36"/>
      <c r="P1" s="36"/>
      <c r="Q1" s="36"/>
      <c r="R1" s="36"/>
      <c r="S1" s="36"/>
      <c r="T1" s="36"/>
    </row>
    <row r="2" spans="1:20" ht="18.75" customHeight="1" x14ac:dyDescent="0.25">
      <c r="A2" s="33"/>
      <c r="B2" s="543"/>
      <c r="C2" s="543"/>
      <c r="D2" s="543"/>
      <c r="E2" s="526"/>
      <c r="F2" s="526"/>
      <c r="G2" s="526"/>
      <c r="H2" s="543" t="s">
        <v>382</v>
      </c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</row>
    <row r="3" spans="1:20" ht="21.75" customHeight="1" x14ac:dyDescent="0.25">
      <c r="A3" s="33"/>
      <c r="B3" s="543" t="s">
        <v>261</v>
      </c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</row>
    <row r="4" spans="1:20" ht="22.5" customHeight="1" x14ac:dyDescent="0.25">
      <c r="A4" s="33"/>
      <c r="B4" s="383"/>
      <c r="C4" s="544" t="s">
        <v>465</v>
      </c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</row>
    <row r="5" spans="1:20" ht="9" customHeight="1" x14ac:dyDescent="0.3">
      <c r="A5" s="33"/>
      <c r="B5" s="45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"/>
      <c r="P5" s="36"/>
      <c r="Q5" s="36"/>
      <c r="R5" s="36"/>
      <c r="S5" s="36"/>
      <c r="T5" s="36"/>
    </row>
    <row r="6" spans="1:20" ht="9" customHeight="1" x14ac:dyDescent="0.3">
      <c r="A6" s="33"/>
      <c r="B6" s="43"/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36"/>
      <c r="P6" s="36"/>
      <c r="Q6" s="36"/>
      <c r="R6" s="36"/>
      <c r="S6" s="36"/>
      <c r="T6" s="36"/>
    </row>
    <row r="7" spans="1:20" ht="17.25" customHeight="1" x14ac:dyDescent="0.25">
      <c r="A7" s="33"/>
      <c r="B7" s="543"/>
      <c r="C7" s="543"/>
      <c r="D7" s="543"/>
      <c r="E7" s="526"/>
      <c r="F7" s="526"/>
      <c r="G7" s="526"/>
      <c r="H7" s="543" t="s">
        <v>382</v>
      </c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3"/>
    </row>
    <row r="8" spans="1:20" ht="21.75" customHeight="1" x14ac:dyDescent="0.25">
      <c r="A8" s="33"/>
      <c r="B8" s="543" t="s">
        <v>261</v>
      </c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3"/>
    </row>
    <row r="9" spans="1:20" ht="23.25" customHeight="1" x14ac:dyDescent="0.25">
      <c r="A9" s="33"/>
      <c r="B9" s="383"/>
      <c r="C9" s="544" t="s">
        <v>391</v>
      </c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44"/>
      <c r="S9" s="544"/>
      <c r="T9" s="544"/>
    </row>
    <row r="10" spans="1:20" ht="23.25" customHeight="1" x14ac:dyDescent="0.3">
      <c r="A10" s="33"/>
      <c r="B10" s="45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"/>
      <c r="P10" s="36"/>
      <c r="Q10" s="36"/>
      <c r="R10" s="36"/>
      <c r="S10" s="36"/>
      <c r="T10" s="36"/>
    </row>
    <row r="11" spans="1:20" ht="22.5" customHeight="1" x14ac:dyDescent="0.2">
      <c r="A11" s="33"/>
      <c r="B11" s="37"/>
      <c r="C11" s="37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ht="1.5" customHeight="1" x14ac:dyDescent="0.2">
      <c r="A12" s="33"/>
      <c r="B12" s="37"/>
      <c r="C12" s="37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20" ht="53.25" customHeight="1" x14ac:dyDescent="0.2">
      <c r="A13" s="551" t="s">
        <v>268</v>
      </c>
      <c r="B13" s="551"/>
      <c r="C13" s="551"/>
      <c r="D13" s="551"/>
      <c r="E13" s="551"/>
      <c r="F13" s="551"/>
      <c r="G13" s="551"/>
      <c r="H13" s="551"/>
      <c r="I13" s="551"/>
      <c r="J13" s="551"/>
      <c r="K13" s="551"/>
      <c r="L13" s="551"/>
      <c r="M13" s="551"/>
      <c r="N13" s="551"/>
      <c r="O13" s="551"/>
      <c r="P13" s="551"/>
      <c r="Q13" s="551"/>
      <c r="R13" s="551"/>
      <c r="S13" s="551"/>
      <c r="T13" s="551"/>
    </row>
    <row r="14" spans="1:20" ht="13.5" customHeight="1" thickBot="1" x14ac:dyDescent="0.25">
      <c r="A14" s="38"/>
      <c r="B14" s="38"/>
      <c r="C14" s="38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20" ht="23.25" customHeight="1" thickBot="1" x14ac:dyDescent="0.25">
      <c r="A15" s="545" t="s">
        <v>81</v>
      </c>
      <c r="B15" s="547" t="s">
        <v>38</v>
      </c>
      <c r="C15" s="549" t="s">
        <v>39</v>
      </c>
      <c r="D15" s="552" t="s">
        <v>233</v>
      </c>
      <c r="E15" s="553"/>
      <c r="F15" s="553"/>
      <c r="G15" s="553"/>
      <c r="H15" s="553"/>
      <c r="I15" s="553"/>
      <c r="J15" s="553"/>
      <c r="K15" s="553"/>
      <c r="L15" s="553"/>
      <c r="M15" s="553"/>
      <c r="N15" s="553"/>
      <c r="O15" s="553"/>
      <c r="P15" s="553"/>
      <c r="Q15" s="553"/>
      <c r="R15" s="553"/>
      <c r="S15" s="553"/>
      <c r="T15" s="554"/>
    </row>
    <row r="16" spans="1:20" ht="48" customHeight="1" thickBot="1" x14ac:dyDescent="0.25">
      <c r="A16" s="546"/>
      <c r="B16" s="548"/>
      <c r="C16" s="550"/>
      <c r="D16" s="3" t="s">
        <v>234</v>
      </c>
      <c r="E16" s="3"/>
      <c r="F16" s="3" t="s">
        <v>235</v>
      </c>
      <c r="G16" s="3" t="s">
        <v>235</v>
      </c>
      <c r="H16" s="3" t="s">
        <v>235</v>
      </c>
      <c r="I16" s="3" t="s">
        <v>262</v>
      </c>
      <c r="J16" s="3" t="s">
        <v>262</v>
      </c>
      <c r="K16" s="3" t="s">
        <v>235</v>
      </c>
      <c r="L16" s="3" t="s">
        <v>235</v>
      </c>
      <c r="M16" s="3" t="s">
        <v>262</v>
      </c>
      <c r="N16" s="3" t="s">
        <v>269</v>
      </c>
      <c r="O16" s="3" t="s">
        <v>269</v>
      </c>
      <c r="P16" s="3" t="s">
        <v>262</v>
      </c>
      <c r="Q16" s="3" t="s">
        <v>262</v>
      </c>
      <c r="R16" s="3" t="s">
        <v>269</v>
      </c>
      <c r="S16" s="3" t="s">
        <v>269</v>
      </c>
      <c r="T16" s="3" t="s">
        <v>269</v>
      </c>
    </row>
    <row r="17" spans="1:20" ht="8.25" customHeight="1" thickBot="1" x14ac:dyDescent="0.25">
      <c r="A17" s="7">
        <v>1</v>
      </c>
      <c r="B17" s="8">
        <v>2</v>
      </c>
      <c r="C17" s="9">
        <v>3</v>
      </c>
      <c r="D17" s="4" t="s">
        <v>40</v>
      </c>
      <c r="E17" s="4"/>
      <c r="F17" s="4" t="s">
        <v>40</v>
      </c>
      <c r="G17" s="4" t="s">
        <v>40</v>
      </c>
      <c r="H17" s="4" t="s">
        <v>40</v>
      </c>
      <c r="I17" s="4" t="s">
        <v>236</v>
      </c>
      <c r="J17" s="4" t="s">
        <v>236</v>
      </c>
      <c r="K17" s="4" t="s">
        <v>40</v>
      </c>
      <c r="L17" s="4" t="s">
        <v>40</v>
      </c>
      <c r="M17" s="4" t="s">
        <v>236</v>
      </c>
      <c r="N17" s="4" t="s">
        <v>237</v>
      </c>
      <c r="O17" s="4" t="s">
        <v>237</v>
      </c>
      <c r="P17" s="4" t="s">
        <v>236</v>
      </c>
      <c r="Q17" s="4" t="s">
        <v>236</v>
      </c>
      <c r="R17" s="4" t="s">
        <v>237</v>
      </c>
      <c r="S17" s="4" t="s">
        <v>237</v>
      </c>
      <c r="T17" s="4" t="s">
        <v>237</v>
      </c>
    </row>
    <row r="18" spans="1:20" x14ac:dyDescent="0.2">
      <c r="A18" s="28" t="s">
        <v>84</v>
      </c>
      <c r="B18" s="29" t="s">
        <v>69</v>
      </c>
      <c r="C18" s="30"/>
      <c r="D18" s="456" t="e">
        <f t="shared" ref="D18:R18" si="0">SUM(D19:D25)</f>
        <v>#REF!</v>
      </c>
      <c r="E18" s="456" t="e">
        <f t="shared" si="0"/>
        <v>#REF!</v>
      </c>
      <c r="F18" s="456" t="e">
        <f t="shared" si="0"/>
        <v>#REF!</v>
      </c>
      <c r="G18" s="456" t="e">
        <f t="shared" si="0"/>
        <v>#REF!</v>
      </c>
      <c r="H18" s="456">
        <f t="shared" si="0"/>
        <v>228384780.55000001</v>
      </c>
      <c r="I18" s="456">
        <f t="shared" si="0"/>
        <v>226133821.84</v>
      </c>
      <c r="J18" s="456">
        <f t="shared" si="0"/>
        <v>-474924.05000000005</v>
      </c>
      <c r="K18" s="456">
        <f>SUM(K19:K25)</f>
        <v>-14454190.68</v>
      </c>
      <c r="L18" s="456">
        <f>SUM(L19:L25)</f>
        <v>213930589.87</v>
      </c>
      <c r="M18" s="456">
        <f t="shared" si="0"/>
        <v>219013102.74000004</v>
      </c>
      <c r="N18" s="456">
        <f t="shared" si="0"/>
        <v>222035850.22000003</v>
      </c>
      <c r="O18" s="456">
        <f t="shared" si="0"/>
        <v>118284.32999999984</v>
      </c>
      <c r="P18" s="456">
        <f>SUM(P19:P25)</f>
        <v>0</v>
      </c>
      <c r="Q18" s="456">
        <f>SUM(Q19:Q25)</f>
        <v>219013102.74000001</v>
      </c>
      <c r="R18" s="456">
        <f t="shared" si="0"/>
        <v>216860388.01999998</v>
      </c>
      <c r="S18" s="456">
        <f>SUM(S19:S25)</f>
        <v>0</v>
      </c>
      <c r="T18" s="456">
        <f>SUM(T19:T25)</f>
        <v>216860388.02000001</v>
      </c>
    </row>
    <row r="19" spans="1:20" ht="25.5" x14ac:dyDescent="0.2">
      <c r="A19" s="22" t="s">
        <v>103</v>
      </c>
      <c r="B19" s="10" t="s">
        <v>69</v>
      </c>
      <c r="C19" s="11" t="s">
        <v>76</v>
      </c>
      <c r="D19" s="40">
        <f>'Ведомственная структура'!L205</f>
        <v>4160910</v>
      </c>
      <c r="E19" s="40">
        <f>'Ведомственная структура'!M205</f>
        <v>0</v>
      </c>
      <c r="F19" s="40">
        <f>'Ведомственная структура'!N205</f>
        <v>4727358.7300000004</v>
      </c>
      <c r="G19" s="40">
        <f>'Ведомственная структура'!O205</f>
        <v>0</v>
      </c>
      <c r="H19" s="40">
        <f>'Ведомственная структура'!P205</f>
        <v>4727358.7300000004</v>
      </c>
      <c r="I19" s="40">
        <f>'Ведомственная структура'!Q205</f>
        <v>4727358.7300000004</v>
      </c>
      <c r="J19" s="40">
        <f>'Ведомственная структура'!R205</f>
        <v>0</v>
      </c>
      <c r="K19" s="40">
        <f>'Ведомственная структура'!S205</f>
        <v>0</v>
      </c>
      <c r="L19" s="40">
        <f>'Ведомственная структура'!T205</f>
        <v>4727358.7300000004</v>
      </c>
      <c r="M19" s="40">
        <f>'Ведомственная структура'!U205</f>
        <v>4727358.7300000004</v>
      </c>
      <c r="N19" s="40">
        <f>'Ведомственная структура'!V205</f>
        <v>4727358.7300000004</v>
      </c>
      <c r="O19" s="40">
        <f>'Ведомственная структура'!W205</f>
        <v>0</v>
      </c>
      <c r="P19" s="40">
        <f>'Ведомственная структура'!X205</f>
        <v>0</v>
      </c>
      <c r="Q19" s="40">
        <f>'Ведомственная структура'!Y205</f>
        <v>4727358.7300000004</v>
      </c>
      <c r="R19" s="40">
        <f>'Ведомственная структура'!Z205</f>
        <v>4727358.7300000004</v>
      </c>
      <c r="S19" s="40">
        <f>'Ведомственная структура'!AA205</f>
        <v>0</v>
      </c>
      <c r="T19" s="40">
        <f>'Ведомственная структура'!AB205</f>
        <v>4727358.7300000004</v>
      </c>
    </row>
    <row r="20" spans="1:20" ht="38.25" x14ac:dyDescent="0.2">
      <c r="A20" s="23" t="s">
        <v>105</v>
      </c>
      <c r="B20" s="10" t="s">
        <v>69</v>
      </c>
      <c r="C20" s="11" t="s">
        <v>72</v>
      </c>
      <c r="D20" s="40">
        <f>'Ведомственная структура'!L526</f>
        <v>3051274</v>
      </c>
      <c r="E20" s="40">
        <f>'Ведомственная структура'!M526</f>
        <v>0</v>
      </c>
      <c r="F20" s="40">
        <f>'Ведомственная структура'!N526</f>
        <v>4737638.2</v>
      </c>
      <c r="G20" s="40">
        <f>'Ведомственная структура'!O526</f>
        <v>0</v>
      </c>
      <c r="H20" s="40">
        <f>'Ведомственная структура'!P526</f>
        <v>4737638.2</v>
      </c>
      <c r="I20" s="40">
        <f>'Ведомственная структура'!Q526</f>
        <v>4737638.2</v>
      </c>
      <c r="J20" s="40">
        <f>'Ведомственная структура'!R526</f>
        <v>0</v>
      </c>
      <c r="K20" s="40">
        <f>'Ведомственная структура'!S526</f>
        <v>0</v>
      </c>
      <c r="L20" s="40">
        <f>'Ведомственная структура'!T526</f>
        <v>4737638.2</v>
      </c>
      <c r="M20" s="40">
        <f>'Ведомственная структура'!U526</f>
        <v>4737638.2</v>
      </c>
      <c r="N20" s="40">
        <f>'Ведомственная структура'!V526</f>
        <v>4737638.2</v>
      </c>
      <c r="O20" s="40">
        <f>'Ведомственная структура'!W526</f>
        <v>0</v>
      </c>
      <c r="P20" s="40">
        <f>'Ведомственная структура'!X526</f>
        <v>0</v>
      </c>
      <c r="Q20" s="40">
        <f>'Ведомственная структура'!Y526</f>
        <v>4737638.2</v>
      </c>
      <c r="R20" s="40">
        <f>'Ведомственная структура'!Z526</f>
        <v>4737638.2</v>
      </c>
      <c r="S20" s="40">
        <f>'Ведомственная структура'!AA526</f>
        <v>0</v>
      </c>
      <c r="T20" s="40">
        <f>'Ведомственная структура'!AB526</f>
        <v>4737638.2</v>
      </c>
    </row>
    <row r="21" spans="1:20" ht="38.25" x14ac:dyDescent="0.2">
      <c r="A21" s="22" t="s">
        <v>125</v>
      </c>
      <c r="B21" s="10" t="s">
        <v>69</v>
      </c>
      <c r="C21" s="11" t="s">
        <v>71</v>
      </c>
      <c r="D21" s="40" t="e">
        <f>'Ведомственная структура'!L206</f>
        <v>#REF!</v>
      </c>
      <c r="E21" s="40" t="e">
        <f>'Ведомственная структура'!M206</f>
        <v>#REF!</v>
      </c>
      <c r="F21" s="40" t="e">
        <f>'Ведомственная структура'!N206+'Ведомственная структура'!#REF!+'Ведомственная структура'!#REF!+'Ведомственная структура'!N803</f>
        <v>#REF!</v>
      </c>
      <c r="G21" s="40" t="e">
        <f>'Ведомственная структура'!O206+'Ведомственная структура'!#REF!+'Ведомственная структура'!#REF!+'Ведомственная структура'!O803</f>
        <v>#REF!</v>
      </c>
      <c r="H21" s="40">
        <f>'Ведомственная структура'!P206+'Ведомственная структура'!P803</f>
        <v>106244975.69</v>
      </c>
      <c r="I21" s="40">
        <f>'Ведомственная структура'!Q206+'Ведомственная структура'!Q803</f>
        <v>107693252.66000001</v>
      </c>
      <c r="J21" s="40">
        <f>'Ведомственная структура'!R206+'Ведомственная структура'!R803</f>
        <v>993094.98</v>
      </c>
      <c r="K21" s="40">
        <f>'Ведомственная структура'!S206+'Ведомственная структура'!S803</f>
        <v>-197303.40999999992</v>
      </c>
      <c r="L21" s="40">
        <f>'Ведомственная структура'!T206+'Ведомственная структура'!T803</f>
        <v>106047672.28</v>
      </c>
      <c r="M21" s="40">
        <f>'Ведомственная структура'!U206+'Ведомственная структура'!U803</f>
        <v>108665347.64000002</v>
      </c>
      <c r="N21" s="40">
        <f>'Ведомственная структура'!V206+'Ведомственная структура'!V803</f>
        <v>107854376.64000002</v>
      </c>
      <c r="O21" s="40">
        <f>'Ведомственная структура'!W206+'Ведомственная структура'!W803</f>
        <v>993094.98</v>
      </c>
      <c r="P21" s="40">
        <f>'Ведомственная структура'!X206+'Ведомственная структура'!X803</f>
        <v>0</v>
      </c>
      <c r="Q21" s="40">
        <f>'Ведомственная структура'!Y206+'Ведомственная структура'!Y803</f>
        <v>108665347.64</v>
      </c>
      <c r="R21" s="40">
        <f>'Ведомственная структура'!Z206+'Ведомственная структура'!Z803</f>
        <v>108826471.62000002</v>
      </c>
      <c r="S21" s="40">
        <f>'Ведомственная структура'!AA206+'Ведомственная структура'!AA803</f>
        <v>0</v>
      </c>
      <c r="T21" s="40">
        <f>'Ведомственная структура'!AB206+'Ведомственная структура'!AB803</f>
        <v>108826471.62</v>
      </c>
    </row>
    <row r="22" spans="1:20" x14ac:dyDescent="0.2">
      <c r="A22" s="18" t="s">
        <v>193</v>
      </c>
      <c r="B22" s="10" t="s">
        <v>69</v>
      </c>
      <c r="C22" s="11" t="s">
        <v>73</v>
      </c>
      <c r="D22" s="40">
        <f>'Ведомственная структура'!L242</f>
        <v>141147.63</v>
      </c>
      <c r="E22" s="40">
        <f>'Ведомственная структура'!M242</f>
        <v>0</v>
      </c>
      <c r="F22" s="40">
        <f>'Ведомственная структура'!N242</f>
        <v>1040.97</v>
      </c>
      <c r="G22" s="40">
        <f>'Ведомственная структура'!O242</f>
        <v>2602.4299999999998</v>
      </c>
      <c r="H22" s="40">
        <f>'Ведомственная структура'!P242</f>
        <v>3643.3999999999996</v>
      </c>
      <c r="I22" s="40">
        <f>'Ведомственная структура'!Q242</f>
        <v>928.54</v>
      </c>
      <c r="J22" s="40">
        <f>'Ведомственная структура'!R242</f>
        <v>2854.96</v>
      </c>
      <c r="K22" s="40">
        <f>'Ведомственная структура'!S242</f>
        <v>0</v>
      </c>
      <c r="L22" s="40">
        <f>'Ведомственная структура'!T242</f>
        <v>3643.4</v>
      </c>
      <c r="M22" s="40">
        <f>'Ведомственная структура'!U242</f>
        <v>3783.5</v>
      </c>
      <c r="N22" s="40">
        <f>'Ведомственная структура'!V242</f>
        <v>928.58</v>
      </c>
      <c r="O22" s="40">
        <f>'Ведомственная структура'!W242</f>
        <v>138645.91</v>
      </c>
      <c r="P22" s="40">
        <f>'Ведомственная структура'!X242</f>
        <v>0</v>
      </c>
      <c r="Q22" s="40">
        <f>'Ведомственная структура'!Y242</f>
        <v>3783.5</v>
      </c>
      <c r="R22" s="40">
        <f>'Ведомственная структура'!Z242</f>
        <v>139574.49</v>
      </c>
      <c r="S22" s="40">
        <f>'Ведомственная структура'!AA242</f>
        <v>0</v>
      </c>
      <c r="T22" s="40">
        <f>'Ведомственная структура'!AB242</f>
        <v>139574.49</v>
      </c>
    </row>
    <row r="23" spans="1:20" ht="31.5" customHeight="1" x14ac:dyDescent="0.2">
      <c r="A23" s="23" t="s">
        <v>104</v>
      </c>
      <c r="B23" s="10" t="s">
        <v>69</v>
      </c>
      <c r="C23" s="11" t="s">
        <v>70</v>
      </c>
      <c r="D23" s="40" t="e">
        <f>'Ведомственная структура'!L784+'Ведомственная структура'!L171</f>
        <v>#REF!</v>
      </c>
      <c r="E23" s="40" t="e">
        <f>'Ведомственная структура'!M784+'Ведомственная структура'!M171</f>
        <v>#REF!</v>
      </c>
      <c r="F23" s="40">
        <f>'Ведомственная структура'!N784+'Ведомственная структура'!N171</f>
        <v>20302551.830000002</v>
      </c>
      <c r="G23" s="40">
        <f>'Ведомственная структура'!O784+'Ведомственная структура'!O171</f>
        <v>0</v>
      </c>
      <c r="H23" s="40">
        <f>'Ведомственная структура'!P784+'Ведомственная структура'!P171</f>
        <v>20302551.830000002</v>
      </c>
      <c r="I23" s="40">
        <f>'Ведомственная структура'!Q784+'Ведомственная структура'!Q171</f>
        <v>19755711.830000002</v>
      </c>
      <c r="J23" s="40">
        <f>'Ведомственная структура'!R784+'Ведомственная структура'!R171</f>
        <v>0</v>
      </c>
      <c r="K23" s="40">
        <f>'Ведомственная структура'!S784+'Ведомственная структура'!S171</f>
        <v>0</v>
      </c>
      <c r="L23" s="40">
        <f>'Ведомственная структура'!T784+'Ведомственная структура'!T171</f>
        <v>20302551.830000002</v>
      </c>
      <c r="M23" s="40">
        <f>'Ведомственная структура'!U784+'Ведомственная структура'!U171</f>
        <v>19755711.830000002</v>
      </c>
      <c r="N23" s="40">
        <f>'Ведомственная структура'!V784+'Ведомственная структура'!V171</f>
        <v>19755711.830000002</v>
      </c>
      <c r="O23" s="40">
        <f>'Ведомственная структура'!W784+'Ведомственная структура'!W171</f>
        <v>0</v>
      </c>
      <c r="P23" s="40">
        <f>'Ведомственная структура'!X784+'Ведомственная структура'!X171</f>
        <v>0</v>
      </c>
      <c r="Q23" s="40">
        <f>'Ведомственная структура'!Y784+'Ведомственная структура'!Y171</f>
        <v>19755711.830000002</v>
      </c>
      <c r="R23" s="40">
        <f>'Ведомственная структура'!Z784+'Ведомственная структура'!Z171</f>
        <v>19755711.830000002</v>
      </c>
      <c r="S23" s="40">
        <f>'Ведомственная структура'!AA784+'Ведомственная структура'!AA171</f>
        <v>0</v>
      </c>
      <c r="T23" s="40">
        <f>'Ведомственная структура'!AB784+'Ведомственная структура'!AB171</f>
        <v>19755711.830000002</v>
      </c>
    </row>
    <row r="24" spans="1:20" x14ac:dyDescent="0.2">
      <c r="A24" s="23" t="s">
        <v>82</v>
      </c>
      <c r="B24" s="10" t="s">
        <v>69</v>
      </c>
      <c r="C24" s="11" t="s">
        <v>95</v>
      </c>
      <c r="D24" s="40">
        <f>'Ведомственная структура'!L180</f>
        <v>500000</v>
      </c>
      <c r="E24" s="40">
        <f>'Ведомственная структура'!M180</f>
        <v>0</v>
      </c>
      <c r="F24" s="40">
        <f>'Ведомственная структура'!N180</f>
        <v>100000</v>
      </c>
      <c r="G24" s="40">
        <f>'Ведомственная структура'!O180</f>
        <v>0</v>
      </c>
      <c r="H24" s="40">
        <f>'Ведомственная структура'!P180</f>
        <v>100000</v>
      </c>
      <c r="I24" s="40">
        <f>'Ведомственная структура'!Q180</f>
        <v>100000</v>
      </c>
      <c r="J24" s="40">
        <f>'Ведомственная структура'!R180</f>
        <v>0</v>
      </c>
      <c r="K24" s="40">
        <f>'Ведомственная структура'!S180</f>
        <v>0</v>
      </c>
      <c r="L24" s="40">
        <f>'Ведомственная структура'!T180</f>
        <v>100000</v>
      </c>
      <c r="M24" s="40">
        <f>'Ведомственная структура'!U180</f>
        <v>100000</v>
      </c>
      <c r="N24" s="40">
        <f>'Ведомственная структура'!V180</f>
        <v>100000</v>
      </c>
      <c r="O24" s="40">
        <f>'Ведомственная структура'!W180</f>
        <v>0</v>
      </c>
      <c r="P24" s="40">
        <f>'Ведомственная структура'!X180</f>
        <v>0</v>
      </c>
      <c r="Q24" s="40">
        <f>'Ведомственная структура'!Y180</f>
        <v>100000</v>
      </c>
      <c r="R24" s="40">
        <f>'Ведомственная структура'!Z180</f>
        <v>100000</v>
      </c>
      <c r="S24" s="40">
        <f>'Ведомственная структура'!AA180</f>
        <v>0</v>
      </c>
      <c r="T24" s="40">
        <f>'Ведомственная структура'!AB180</f>
        <v>100000</v>
      </c>
    </row>
    <row r="25" spans="1:20" x14ac:dyDescent="0.2">
      <c r="A25" s="23" t="s">
        <v>98</v>
      </c>
      <c r="B25" s="10" t="s">
        <v>69</v>
      </c>
      <c r="C25" s="11" t="s">
        <v>120</v>
      </c>
      <c r="D25" s="40" t="e">
        <f>'Ведомственная структура'!#REF!+'Ведомственная структура'!L247+'Ведомственная структура'!L545+'Ведомственная структура'!L538+'Ведомственная структура'!L655</f>
        <v>#REF!</v>
      </c>
      <c r="E25" s="40" t="e">
        <f>'Ведомственная структура'!#REF!+'Ведомственная структура'!M247+'Ведомственная структура'!M545+'Ведомственная структура'!M538+'Ведомственная структура'!M655</f>
        <v>#REF!</v>
      </c>
      <c r="F25" s="40" t="e">
        <f>'Ведомственная структура'!#REF!+'Ведомственная структура'!N247+'Ведомственная структура'!N545+'Ведомственная структура'!N538+'Ведомственная структура'!N655</f>
        <v>#REF!</v>
      </c>
      <c r="G25" s="40" t="e">
        <f>'Ведомственная структура'!#REF!+'Ведомственная структура'!O247+'Ведомственная структура'!O545+'Ведомственная структура'!O538+'Ведомственная структура'!O655</f>
        <v>#REF!</v>
      </c>
      <c r="H25" s="40">
        <f>'Ведомственная структура'!P247+'Ведомственная структура'!P545+'Ведомственная структура'!P538+'Ведомственная структура'!P655+'Ведомственная структура'!P810</f>
        <v>92268612.699999988</v>
      </c>
      <c r="I25" s="40">
        <f>'Ведомственная структура'!Q247+'Ведомственная структура'!Q545+'Ведомственная структура'!Q538+'Ведомственная структура'!Q655+'Ведомственная структура'!Q810</f>
        <v>89118931.879999995</v>
      </c>
      <c r="J25" s="40">
        <f>'Ведомственная структура'!R247+'Ведомственная структура'!R545+'Ведомственная структура'!R538+'Ведомственная структура'!R655+'Ведомственная структура'!R810</f>
        <v>-1470873.99</v>
      </c>
      <c r="K25" s="40">
        <f>'Ведомственная структура'!S247+'Ведомственная структура'!S545+'Ведомственная структура'!S538+'Ведомственная структура'!S655+'Ведомственная структура'!S810</f>
        <v>-14256887.27</v>
      </c>
      <c r="L25" s="40">
        <f>'Ведомственная структура'!T247+'Ведомственная структура'!T545+'Ведомственная структура'!T538+'Ведомственная структура'!T655+'Ведомственная структура'!T810</f>
        <v>78011725.429999992</v>
      </c>
      <c r="M25" s="40">
        <f>'Ведомственная структура'!U247+'Ведомственная структура'!U545+'Ведомственная структура'!U538+'Ведомственная структура'!U655+'Ведомственная структура'!U810</f>
        <v>81023262.840000004</v>
      </c>
      <c r="N25" s="40">
        <f>'Ведомственная структура'!V247+'Ведомственная структура'!V545+'Ведомственная структура'!V538+'Ведомственная структура'!V655+'Ведомственная структура'!V810</f>
        <v>84859836.239999995</v>
      </c>
      <c r="O25" s="40">
        <f>'Ведомственная структура'!W247+'Ведомственная структура'!W545+'Ведомственная структура'!W538+'Ведомственная структура'!W655+'Ведомственная структура'!W810</f>
        <v>-1013456.56</v>
      </c>
      <c r="P25" s="40">
        <f>'Ведомственная структура'!X247+'Ведомственная структура'!X545+'Ведомственная структура'!X538+'Ведомственная структура'!X655+'Ведомственная структура'!X810</f>
        <v>0</v>
      </c>
      <c r="Q25" s="40">
        <f>'Ведомственная структура'!Y247+'Ведомственная структура'!Y545+'Ведомственная структура'!Y538+'Ведомственная структура'!Y655+'Ведомственная структура'!Y810</f>
        <v>81023262.840000004</v>
      </c>
      <c r="R25" s="40">
        <f>'Ведомственная структура'!Z247+'Ведомственная структура'!Z545+'Ведомственная структура'!Z538+'Ведомственная структура'!Z655+'Ведомственная структура'!Z810</f>
        <v>78573633.149999991</v>
      </c>
      <c r="S25" s="40">
        <f>'Ведомственная структура'!AA247+'Ведомственная структура'!AA545+'Ведомственная структура'!AA538+'Ведомственная структура'!AA655+'Ведомственная структура'!AA810</f>
        <v>0</v>
      </c>
      <c r="T25" s="40">
        <f>'Ведомственная структура'!AB247+'Ведомственная структура'!AB545+'Ведомственная структура'!AB538+'Ведомственная структура'!AB655+'Ведомственная структура'!AB810</f>
        <v>78573633.150000006</v>
      </c>
    </row>
    <row r="26" spans="1:20" x14ac:dyDescent="0.2">
      <c r="A26" s="457" t="s">
        <v>284</v>
      </c>
      <c r="B26" s="13" t="s">
        <v>76</v>
      </c>
      <c r="C26" s="20"/>
      <c r="D26" s="40"/>
      <c r="E26" s="40"/>
      <c r="F26" s="458" t="e">
        <f t="shared" ref="F26:T26" si="1">F27</f>
        <v>#REF!</v>
      </c>
      <c r="G26" s="458" t="e">
        <f t="shared" si="1"/>
        <v>#REF!</v>
      </c>
      <c r="H26" s="458">
        <f t="shared" si="1"/>
        <v>2191885.14</v>
      </c>
      <c r="I26" s="458">
        <f t="shared" si="1"/>
        <v>1934154.8499999999</v>
      </c>
      <c r="J26" s="458">
        <f t="shared" si="1"/>
        <v>457746.8</v>
      </c>
      <c r="K26" s="458">
        <f t="shared" si="1"/>
        <v>0</v>
      </c>
      <c r="L26" s="458">
        <f t="shared" si="1"/>
        <v>2191885.14</v>
      </c>
      <c r="M26" s="458">
        <f t="shared" si="1"/>
        <v>2391901.65</v>
      </c>
      <c r="N26" s="458">
        <f t="shared" si="1"/>
        <v>2017152.98</v>
      </c>
      <c r="O26" s="458">
        <f t="shared" si="1"/>
        <v>577142.53</v>
      </c>
      <c r="P26" s="458">
        <f t="shared" si="1"/>
        <v>0</v>
      </c>
      <c r="Q26" s="458">
        <f t="shared" si="1"/>
        <v>2391901.65</v>
      </c>
      <c r="R26" s="458">
        <f t="shared" si="1"/>
        <v>2594295.5099999998</v>
      </c>
      <c r="S26" s="458">
        <f t="shared" si="1"/>
        <v>0</v>
      </c>
      <c r="T26" s="458">
        <f t="shared" si="1"/>
        <v>2594295.5099999998</v>
      </c>
    </row>
    <row r="27" spans="1:20" x14ac:dyDescent="0.2">
      <c r="A27" s="447" t="s">
        <v>285</v>
      </c>
      <c r="B27" s="10" t="s">
        <v>76</v>
      </c>
      <c r="C27" s="11" t="s">
        <v>72</v>
      </c>
      <c r="D27" s="40"/>
      <c r="E27" s="40"/>
      <c r="F27" s="40" t="e">
        <f>'Ведомственная структура'!N320+'Ведомственная структура'!#REF!+'Ведомственная структура'!#REF!+'Ведомственная структура'!N817</f>
        <v>#REF!</v>
      </c>
      <c r="G27" s="40" t="e">
        <f>'Ведомственная структура'!O320+'Ведомственная структура'!#REF!+'Ведомственная структура'!#REF!+'Ведомственная структура'!O817</f>
        <v>#REF!</v>
      </c>
      <c r="H27" s="40">
        <f>'Ведомственная структура'!P320+'Ведомственная структура'!P817</f>
        <v>2191885.14</v>
      </c>
      <c r="I27" s="40">
        <f>'Ведомственная структура'!Q320+'Ведомственная структура'!Q817</f>
        <v>1934154.8499999999</v>
      </c>
      <c r="J27" s="40">
        <f>'Ведомственная структура'!R320+'Ведомственная структура'!R817</f>
        <v>457746.8</v>
      </c>
      <c r="K27" s="40">
        <f>'Ведомственная структура'!S320+'Ведомственная структура'!S817</f>
        <v>0</v>
      </c>
      <c r="L27" s="40">
        <f>'Ведомственная структура'!T320+'Ведомственная структура'!T817</f>
        <v>2191885.14</v>
      </c>
      <c r="M27" s="40">
        <f>'Ведомственная структура'!U320+'Ведомственная структура'!U817</f>
        <v>2391901.65</v>
      </c>
      <c r="N27" s="40">
        <f>'Ведомственная структура'!V320+'Ведомственная структура'!V817</f>
        <v>2017152.98</v>
      </c>
      <c r="O27" s="40">
        <f>'Ведомственная структура'!W320+'Ведомственная структура'!W817</f>
        <v>577142.53</v>
      </c>
      <c r="P27" s="40">
        <f>'Ведомственная структура'!X320+'Ведомственная структура'!X817</f>
        <v>0</v>
      </c>
      <c r="Q27" s="40">
        <f>'Ведомственная структура'!Y320+'Ведомственная структура'!Y817</f>
        <v>2391901.65</v>
      </c>
      <c r="R27" s="40">
        <f>'Ведомственная структура'!Z320+'Ведомственная структура'!Z817</f>
        <v>2594295.5099999998</v>
      </c>
      <c r="S27" s="40">
        <f>'Ведомственная структура'!AA320+'Ведомственная структура'!AA817</f>
        <v>0</v>
      </c>
      <c r="T27" s="40">
        <f>'Ведомственная структура'!AB320+'Ведомственная структура'!AB817</f>
        <v>2594295.5099999998</v>
      </c>
    </row>
    <row r="28" spans="1:20" ht="28.5" customHeight="1" x14ac:dyDescent="0.2">
      <c r="A28" s="25" t="s">
        <v>85</v>
      </c>
      <c r="B28" s="12" t="s">
        <v>72</v>
      </c>
      <c r="C28" s="11"/>
      <c r="D28" s="41" t="e">
        <f>#REF!+D30</f>
        <v>#REF!</v>
      </c>
      <c r="E28" s="41" t="e">
        <f>#REF!+E30</f>
        <v>#REF!</v>
      </c>
      <c r="F28" s="41" t="e">
        <f t="shared" ref="F28:R28" si="2">F30</f>
        <v>#REF!</v>
      </c>
      <c r="G28" s="41" t="e">
        <f t="shared" si="2"/>
        <v>#REF!</v>
      </c>
      <c r="H28" s="41">
        <f t="shared" si="2"/>
        <v>2865257.8899999997</v>
      </c>
      <c r="I28" s="41">
        <f t="shared" si="2"/>
        <v>102908841.27000001</v>
      </c>
      <c r="J28" s="41">
        <f t="shared" si="2"/>
        <v>99605310</v>
      </c>
      <c r="K28" s="41">
        <f>K30</f>
        <v>0</v>
      </c>
      <c r="L28" s="41">
        <f>L30</f>
        <v>2865257.89</v>
      </c>
      <c r="M28" s="41">
        <f t="shared" si="2"/>
        <v>93088057.090000004</v>
      </c>
      <c r="N28" s="41">
        <f t="shared" si="2"/>
        <v>267274891.27000001</v>
      </c>
      <c r="O28" s="41">
        <f t="shared" si="2"/>
        <v>2940000</v>
      </c>
      <c r="P28" s="41">
        <f>P30</f>
        <v>0</v>
      </c>
      <c r="Q28" s="41">
        <f>Q30</f>
        <v>93088057.090000004</v>
      </c>
      <c r="R28" s="41">
        <f t="shared" si="2"/>
        <v>91571297.090000004</v>
      </c>
      <c r="S28" s="41">
        <f>S30</f>
        <v>0</v>
      </c>
      <c r="T28" s="41">
        <f>T30</f>
        <v>91571297.090000004</v>
      </c>
    </row>
    <row r="29" spans="1:20" ht="15" hidden="1" customHeight="1" x14ac:dyDescent="0.2">
      <c r="A29" s="16" t="s">
        <v>188</v>
      </c>
      <c r="B29" s="10" t="s">
        <v>72</v>
      </c>
      <c r="C29" s="11" t="s">
        <v>88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ht="36.75" customHeight="1" x14ac:dyDescent="0.2">
      <c r="A30" s="16" t="s">
        <v>228</v>
      </c>
      <c r="B30" s="10" t="s">
        <v>72</v>
      </c>
      <c r="C30" s="11" t="s">
        <v>88</v>
      </c>
      <c r="D30" s="40" t="e">
        <f>'Ведомственная структура'!L328</f>
        <v>#REF!</v>
      </c>
      <c r="E30" s="40" t="e">
        <f>'Ведомственная структура'!M328</f>
        <v>#REF!</v>
      </c>
      <c r="F30" s="40" t="e">
        <f>'Ведомственная структура'!N186+'Ведомственная структура'!N328+'Ведомственная структура'!#REF!+'Ведомственная структура'!#REF!+'Ведомственная структура'!N824</f>
        <v>#REF!</v>
      </c>
      <c r="G30" s="40" t="e">
        <f>'Ведомственная структура'!O186+'Ведомственная структура'!O328+'Ведомственная структура'!#REF!+'Ведомственная структура'!#REF!+'Ведомственная структура'!O824</f>
        <v>#REF!</v>
      </c>
      <c r="H30" s="40">
        <f>'Ведомственная структура'!P186+'Ведомственная структура'!P328+'Ведомственная структура'!P824</f>
        <v>2865257.8899999997</v>
      </c>
      <c r="I30" s="40">
        <f>'Ведомственная структура'!Q186+'Ведомственная структура'!Q328+'Ведомственная структура'!Q824</f>
        <v>102908841.27000001</v>
      </c>
      <c r="J30" s="40">
        <f>'Ведомственная структура'!R186+'Ведомственная структура'!R328+'Ведомственная структура'!R824</f>
        <v>99605310</v>
      </c>
      <c r="K30" s="40">
        <f>'Ведомственная структура'!S186+'Ведомственная структура'!S328+'Ведомственная структура'!S824</f>
        <v>0</v>
      </c>
      <c r="L30" s="40">
        <f>'Ведомственная структура'!T186+'Ведомственная структура'!T328+'Ведомственная структура'!T824</f>
        <v>2865257.89</v>
      </c>
      <c r="M30" s="40">
        <f>'Ведомственная структура'!U186+'Ведомственная структура'!U328+'Ведомственная структура'!U824</f>
        <v>93088057.090000004</v>
      </c>
      <c r="N30" s="40">
        <f>'Ведомственная структура'!V186+'Ведомственная структура'!V328+'Ведомственная структура'!V824</f>
        <v>267274891.27000001</v>
      </c>
      <c r="O30" s="40">
        <f>'Ведомственная структура'!W186+'Ведомственная структура'!W328+'Ведомственная структура'!W824</f>
        <v>2940000</v>
      </c>
      <c r="P30" s="40">
        <f>'Ведомственная структура'!X186+'Ведомственная структура'!X328+'Ведомственная структура'!X824</f>
        <v>0</v>
      </c>
      <c r="Q30" s="40">
        <f>'Ведомственная структура'!Y186+'Ведомственная структура'!Y328+'Ведомственная структура'!Y824</f>
        <v>93088057.090000004</v>
      </c>
      <c r="R30" s="40">
        <f>'Ведомственная структура'!Z186+'Ведомственная структура'!Z328+'Ведомственная структура'!Z824</f>
        <v>91571297.090000004</v>
      </c>
      <c r="S30" s="40">
        <f>'Ведомственная структура'!AA186+'Ведомственная структура'!AA328+'Ведомственная структура'!AA824</f>
        <v>0</v>
      </c>
      <c r="T30" s="40">
        <f>'Ведомственная структура'!AB186+'Ведомственная структура'!AB328+'Ведомственная структура'!AB824</f>
        <v>91571297.090000004</v>
      </c>
    </row>
    <row r="31" spans="1:20" x14ac:dyDescent="0.2">
      <c r="A31" s="24" t="s">
        <v>87</v>
      </c>
      <c r="B31" s="31" t="s">
        <v>71</v>
      </c>
      <c r="C31" s="32"/>
      <c r="D31" s="41" t="e">
        <f t="shared" ref="D31:R31" si="3">SUM(D32:D37)</f>
        <v>#REF!</v>
      </c>
      <c r="E31" s="41" t="e">
        <f t="shared" si="3"/>
        <v>#REF!</v>
      </c>
      <c r="F31" s="41" t="e">
        <f t="shared" si="3"/>
        <v>#REF!</v>
      </c>
      <c r="G31" s="41" t="e">
        <f t="shared" si="3"/>
        <v>#REF!</v>
      </c>
      <c r="H31" s="41">
        <f t="shared" si="3"/>
        <v>86227471.900000006</v>
      </c>
      <c r="I31" s="41">
        <f t="shared" si="3"/>
        <v>234707536.84</v>
      </c>
      <c r="J31" s="41">
        <f t="shared" si="3"/>
        <v>6807338.1099999994</v>
      </c>
      <c r="K31" s="41">
        <f>SUM(K32:K37)</f>
        <v>13896017.050000001</v>
      </c>
      <c r="L31" s="41">
        <f>SUM(L32:L37)</f>
        <v>100123488.94999999</v>
      </c>
      <c r="M31" s="41">
        <f t="shared" si="3"/>
        <v>119360865.45999999</v>
      </c>
      <c r="N31" s="41">
        <f t="shared" si="3"/>
        <v>214407742.13999999</v>
      </c>
      <c r="O31" s="41">
        <f t="shared" si="3"/>
        <v>2810028.0100000002</v>
      </c>
      <c r="P31" s="41">
        <f>SUM(P32:P37)</f>
        <v>6427933.04</v>
      </c>
      <c r="Q31" s="41">
        <f>SUM(Q32:Q37)</f>
        <v>131068798.49999999</v>
      </c>
      <c r="R31" s="41">
        <f t="shared" si="3"/>
        <v>95908390.349999994</v>
      </c>
      <c r="S31" s="41">
        <f>SUM(S32:S37)</f>
        <v>6427933.04</v>
      </c>
      <c r="T31" s="41">
        <f>SUM(T32:T37)</f>
        <v>102336323.39</v>
      </c>
    </row>
    <row r="32" spans="1:20" x14ac:dyDescent="0.2">
      <c r="A32" s="23" t="s">
        <v>35</v>
      </c>
      <c r="B32" s="10" t="s">
        <v>71</v>
      </c>
      <c r="C32" s="11" t="s">
        <v>73</v>
      </c>
      <c r="D32" s="40">
        <f>'Ведомственная структура'!L337</f>
        <v>1584000</v>
      </c>
      <c r="E32" s="40">
        <f>'Ведомственная структура'!M337</f>
        <v>0</v>
      </c>
      <c r="F32" s="40">
        <f>'Ведомственная структура'!N337</f>
        <v>0</v>
      </c>
      <c r="G32" s="40">
        <f>'Ведомственная структура'!O337</f>
        <v>0</v>
      </c>
      <c r="H32" s="40">
        <f>'Ведомственная структура'!P570+'Ведомственная структура'!P337</f>
        <v>0</v>
      </c>
      <c r="I32" s="40">
        <f>'Ведомственная структура'!Q570+'Ведомственная структура'!Q337</f>
        <v>1573000</v>
      </c>
      <c r="J32" s="40">
        <f>'Ведомственная структура'!R570+'Ведомственная структура'!R337</f>
        <v>0</v>
      </c>
      <c r="K32" s="40">
        <f>'Ведомственная структура'!S570+'Ведомственная структура'!S337</f>
        <v>50000</v>
      </c>
      <c r="L32" s="40">
        <f>'Ведомственная структура'!T570+'Ведомственная структура'!T337</f>
        <v>50000</v>
      </c>
      <c r="M32" s="40">
        <f>'Ведомственная структура'!U570+'Ведомственная структура'!U337</f>
        <v>1573000</v>
      </c>
      <c r="N32" s="40">
        <f>'Ведомственная структура'!V570+'Ведомственная структура'!V337</f>
        <v>1573000</v>
      </c>
      <c r="O32" s="40">
        <f>'Ведомственная структура'!W570+'Ведомственная структура'!W337</f>
        <v>0</v>
      </c>
      <c r="P32" s="40">
        <f>'Ведомственная структура'!X570+'Ведомственная структура'!X337</f>
        <v>0</v>
      </c>
      <c r="Q32" s="40">
        <f>'Ведомственная структура'!Y570+'Ведомственная структура'!Y337</f>
        <v>1573000</v>
      </c>
      <c r="R32" s="40">
        <f>'Ведомственная структура'!Z570+'Ведомственная структура'!Z337</f>
        <v>1573000</v>
      </c>
      <c r="S32" s="40">
        <f>'Ведомственная структура'!AA570+'Ведомственная структура'!AA337</f>
        <v>0</v>
      </c>
      <c r="T32" s="40">
        <f>'Ведомственная структура'!AB570+'Ведомственная структура'!AB337</f>
        <v>1573000</v>
      </c>
    </row>
    <row r="33" spans="1:20" hidden="1" x14ac:dyDescent="0.2">
      <c r="A33" s="26" t="s">
        <v>37</v>
      </c>
      <c r="B33" s="10" t="s">
        <v>71</v>
      </c>
      <c r="C33" s="11" t="s">
        <v>70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</row>
    <row r="34" spans="1:20" hidden="1" x14ac:dyDescent="0.2">
      <c r="A34" s="26" t="s">
        <v>178</v>
      </c>
      <c r="B34" s="10" t="s">
        <v>71</v>
      </c>
      <c r="C34" s="11" t="s">
        <v>75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</row>
    <row r="35" spans="1:20" x14ac:dyDescent="0.2">
      <c r="A35" s="26" t="s">
        <v>178</v>
      </c>
      <c r="B35" s="10" t="s">
        <v>71</v>
      </c>
      <c r="C35" s="11" t="s">
        <v>75</v>
      </c>
      <c r="D35" s="40" t="e">
        <f>'Ведомственная структура'!L344</f>
        <v>#REF!</v>
      </c>
      <c r="E35" s="40" t="e">
        <f>'Ведомственная структура'!M344</f>
        <v>#REF!</v>
      </c>
      <c r="F35" s="40">
        <f>'Ведомственная структура'!N344</f>
        <v>0</v>
      </c>
      <c r="G35" s="40">
        <f>'Ведомственная структура'!O344</f>
        <v>0</v>
      </c>
      <c r="H35" s="40">
        <f>'Ведомственная структура'!P344</f>
        <v>21320577.66</v>
      </c>
      <c r="I35" s="40">
        <f>'Ведомственная структура'!Q344</f>
        <v>76405746.099999994</v>
      </c>
      <c r="J35" s="40">
        <f>'Ведомственная структура'!R344</f>
        <v>0</v>
      </c>
      <c r="K35" s="40">
        <f>'Ведомственная структура'!S344</f>
        <v>17456717.050000001</v>
      </c>
      <c r="L35" s="40">
        <f>'Ведомственная структура'!T344</f>
        <v>38777294.710000001</v>
      </c>
      <c r="M35" s="40">
        <f>'Ведомственная структура'!U344</f>
        <v>38202873.049999997</v>
      </c>
      <c r="N35" s="40">
        <f>'Ведомственная структура'!V344</f>
        <v>76405746.099999994</v>
      </c>
      <c r="O35" s="40">
        <f>'Ведомственная структура'!W344</f>
        <v>0</v>
      </c>
      <c r="P35" s="40">
        <f>'Ведомственная структура'!X344</f>
        <v>6427933.04</v>
      </c>
      <c r="Q35" s="40">
        <f>'Ведомственная структура'!Y344</f>
        <v>44630806.089999996</v>
      </c>
      <c r="R35" s="40">
        <f>'Ведомственная структура'!Z344</f>
        <v>38202873.049999997</v>
      </c>
      <c r="S35" s="40">
        <f>'Ведомственная структура'!AA344</f>
        <v>6427933.04</v>
      </c>
      <c r="T35" s="40">
        <f>'Ведомственная структура'!AB344</f>
        <v>44630806.089999996</v>
      </c>
    </row>
    <row r="36" spans="1:20" x14ac:dyDescent="0.2">
      <c r="A36" s="23" t="s">
        <v>122</v>
      </c>
      <c r="B36" s="10" t="s">
        <v>71</v>
      </c>
      <c r="C36" s="11" t="s">
        <v>86</v>
      </c>
      <c r="D36" s="40" t="e">
        <f>'Ведомственная структура'!L364</f>
        <v>#REF!</v>
      </c>
      <c r="E36" s="40" t="e">
        <f>'Ведомственная структура'!M364</f>
        <v>#REF!</v>
      </c>
      <c r="F36" s="40" t="e">
        <f>'Ведомственная структура'!N364+'Ведомственная структура'!#REF!+'Ведомственная структура'!#REF!+'Ведомственная структура'!N833</f>
        <v>#REF!</v>
      </c>
      <c r="G36" s="40" t="e">
        <f>'Ведомственная структура'!O364+'Ведомственная структура'!#REF!+'Ведомственная структура'!#REF!+'Ведомственная структура'!O833</f>
        <v>#REF!</v>
      </c>
      <c r="H36" s="40">
        <f>'Ведомственная структура'!P364+'Ведомственная структура'!P833</f>
        <v>54245014.670000002</v>
      </c>
      <c r="I36" s="40">
        <f>'Ведомственная структура'!Q364+'Ведомственная структура'!Q833</f>
        <v>104950315.33</v>
      </c>
      <c r="J36" s="40">
        <f>'Ведомственная структура'!R364+'Ведомственная структура'!R833</f>
        <v>6807338.1099999994</v>
      </c>
      <c r="K36" s="40">
        <f>'Ведомственная структура'!S364+'Ведомственная структура'!S833</f>
        <v>-4153650</v>
      </c>
      <c r="L36" s="40">
        <f>'Ведомственная структура'!T364+'Ведомственная структура'!T833</f>
        <v>50091364.670000002</v>
      </c>
      <c r="M36" s="40">
        <f>'Ведомственная структура'!U364+'Ведомственная структура'!U833</f>
        <v>73554780.390000001</v>
      </c>
      <c r="N36" s="40">
        <f>'Ведомственная структура'!V364+'Ведомственная структура'!V833</f>
        <v>85464629.319999993</v>
      </c>
      <c r="O36" s="40">
        <f>'Ведомственная структура'!W364+'Ведомственная структура'!W833</f>
        <v>2810028.0100000002</v>
      </c>
      <c r="P36" s="40">
        <f>'Ведомственная структура'!X364+'Ведомственная структура'!X833</f>
        <v>0</v>
      </c>
      <c r="Q36" s="40">
        <f>'Ведомственная структура'!Y364+'Ведомственная структура'!Y833</f>
        <v>73554780.390000001</v>
      </c>
      <c r="R36" s="40">
        <f>'Ведомственная структура'!Z364+'Ведомственная структура'!Z833</f>
        <v>50071784.280000001</v>
      </c>
      <c r="S36" s="40">
        <f>'Ведомственная структура'!AA364+'Ведомственная структура'!AA833</f>
        <v>0</v>
      </c>
      <c r="T36" s="40">
        <f>'Ведомственная структура'!AB364+'Ведомственная структура'!AB833</f>
        <v>50071784.280000001</v>
      </c>
    </row>
    <row r="37" spans="1:20" ht="18" customHeight="1" x14ac:dyDescent="0.2">
      <c r="A37" s="23" t="s">
        <v>94</v>
      </c>
      <c r="B37" s="10" t="s">
        <v>71</v>
      </c>
      <c r="C37" s="11" t="s">
        <v>100</v>
      </c>
      <c r="D37" s="40" t="e">
        <f>'Ведомственная структура'!L674+'Ведомственная структура'!L575+'Ведомственная структура'!L382</f>
        <v>#REF!</v>
      </c>
      <c r="E37" s="40" t="e">
        <f>'Ведомственная структура'!M674+'Ведомственная структура'!M575+'Ведомственная структура'!M382</f>
        <v>#REF!</v>
      </c>
      <c r="F37" s="40">
        <f>'Ведомственная структура'!N674+'Ведомственная структура'!N575+'Ведомственная структура'!N382</f>
        <v>5301879.57</v>
      </c>
      <c r="G37" s="40">
        <f>'Ведомственная структура'!O674+'Ведомственная структура'!O575+'Ведомственная структура'!O382</f>
        <v>0</v>
      </c>
      <c r="H37" s="40">
        <f>'Ведомственная структура'!P674+'Ведомственная структура'!P575+'Ведомственная структура'!P382</f>
        <v>10661879.57</v>
      </c>
      <c r="I37" s="40">
        <f>'Ведомственная структура'!Q674+'Ведомственная структура'!Q575+'Ведомственная структура'!Q382</f>
        <v>51778475.409999996</v>
      </c>
      <c r="J37" s="40">
        <f>'Ведомственная структура'!R674+'Ведомственная структура'!R575+'Ведомственная структура'!R382</f>
        <v>0</v>
      </c>
      <c r="K37" s="40">
        <f>'Ведомственная структура'!S674+'Ведомственная структура'!S575+'Ведомственная структура'!S382</f>
        <v>542950</v>
      </c>
      <c r="L37" s="40">
        <f>'Ведомственная структура'!T674+'Ведомственная структура'!T575+'Ведомственная структура'!T382</f>
        <v>11204829.57</v>
      </c>
      <c r="M37" s="40">
        <f>'Ведомственная структура'!U674+'Ведомственная структура'!U575+'Ведомственная структура'!U382</f>
        <v>6030212.0200000005</v>
      </c>
      <c r="N37" s="40">
        <f>'Ведомственная структура'!V674+'Ведомственная структура'!V575+'Ведомственная структура'!V382</f>
        <v>50964366.719999999</v>
      </c>
      <c r="O37" s="40">
        <f>'Ведомственная структура'!W674+'Ведомственная структура'!W575+'Ведомственная структура'!W382</f>
        <v>0</v>
      </c>
      <c r="P37" s="40">
        <f>'Ведомственная структура'!X674+'Ведомственная структура'!X575+'Ведомственная структура'!X382</f>
        <v>0</v>
      </c>
      <c r="Q37" s="40">
        <f>'Ведомственная структура'!Y674+'Ведомственная структура'!Y575+'Ведомственная структура'!Y382</f>
        <v>11310212.02</v>
      </c>
      <c r="R37" s="40">
        <f>'Ведомственная структура'!Z674+'Ведомственная структура'!Z575+'Ведомственная структура'!Z382</f>
        <v>6060733.0200000005</v>
      </c>
      <c r="S37" s="40">
        <f>'Ведомственная структура'!AA674+'Ведомственная структура'!AA575+'Ведомственная структура'!AA382</f>
        <v>0</v>
      </c>
      <c r="T37" s="40">
        <f>'Ведомственная структура'!AB674+'Ведомственная структура'!AB575+'Ведомственная структура'!AB382</f>
        <v>6060733.0200000005</v>
      </c>
    </row>
    <row r="38" spans="1:20" x14ac:dyDescent="0.2">
      <c r="A38" s="24" t="s">
        <v>77</v>
      </c>
      <c r="B38" s="13" t="s">
        <v>73</v>
      </c>
      <c r="C38" s="11"/>
      <c r="D38" s="41" t="e">
        <f t="shared" ref="D38:R38" si="4">SUM(D40:D43)</f>
        <v>#REF!</v>
      </c>
      <c r="E38" s="41" t="e">
        <f t="shared" si="4"/>
        <v>#REF!</v>
      </c>
      <c r="F38" s="41">
        <f t="shared" si="4"/>
        <v>0</v>
      </c>
      <c r="G38" s="41">
        <f t="shared" si="4"/>
        <v>0</v>
      </c>
      <c r="H38" s="41">
        <f t="shared" si="4"/>
        <v>23179292.699999999</v>
      </c>
      <c r="I38" s="41">
        <f t="shared" si="4"/>
        <v>67107231.380000003</v>
      </c>
      <c r="J38" s="41">
        <f t="shared" si="4"/>
        <v>0</v>
      </c>
      <c r="K38" s="41">
        <f>SUM(K40:K43)</f>
        <v>2661080</v>
      </c>
      <c r="L38" s="41">
        <f>SUM(L40:L43)</f>
        <v>25840372.699999999</v>
      </c>
      <c r="M38" s="41">
        <f t="shared" si="4"/>
        <v>80278711.189999998</v>
      </c>
      <c r="N38" s="41">
        <f t="shared" si="4"/>
        <v>31160591.150000002</v>
      </c>
      <c r="O38" s="41">
        <f t="shared" si="4"/>
        <v>0</v>
      </c>
      <c r="P38" s="41">
        <f>SUM(P40:P43)</f>
        <v>34747</v>
      </c>
      <c r="Q38" s="41">
        <f>SUM(Q40:Q43)</f>
        <v>80313458.189999998</v>
      </c>
      <c r="R38" s="41">
        <f t="shared" si="4"/>
        <v>53450097.060000002</v>
      </c>
      <c r="S38" s="41">
        <f>SUM(S40:S43)</f>
        <v>34747</v>
      </c>
      <c r="T38" s="41">
        <f>SUM(T40:T43)</f>
        <v>53484844.060000002</v>
      </c>
    </row>
    <row r="39" spans="1:20" hidden="1" x14ac:dyDescent="0.2">
      <c r="A39" s="23" t="s">
        <v>130</v>
      </c>
      <c r="B39" s="14" t="s">
        <v>73</v>
      </c>
      <c r="C39" s="15" t="s">
        <v>69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idden="1" x14ac:dyDescent="0.2">
      <c r="A40" s="23" t="s">
        <v>130</v>
      </c>
      <c r="B40" s="14" t="s">
        <v>73</v>
      </c>
      <c r="C40" s="15" t="s">
        <v>69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</row>
    <row r="41" spans="1:20" x14ac:dyDescent="0.2">
      <c r="A41" s="27" t="s">
        <v>130</v>
      </c>
      <c r="B41" s="14" t="s">
        <v>73</v>
      </c>
      <c r="C41" s="15" t="s">
        <v>69</v>
      </c>
      <c r="D41" s="42" t="e">
        <f>'Ведомственная структура'!L584</f>
        <v>#REF!</v>
      </c>
      <c r="E41" s="42" t="e">
        <f>'Ведомственная структура'!M584</f>
        <v>#REF!</v>
      </c>
      <c r="F41" s="42">
        <f>'Ведомственная структура'!N584+'Ведомственная структура'!N402</f>
        <v>0</v>
      </c>
      <c r="G41" s="42">
        <f>'Ведомственная структура'!O584+'Ведомственная структура'!O402</f>
        <v>0</v>
      </c>
      <c r="H41" s="42">
        <f>'Ведомственная структура'!P584+'Ведомственная структура'!P402</f>
        <v>5731620</v>
      </c>
      <c r="I41" s="42">
        <f>'Ведомственная структура'!Q584+'Ведомственная структура'!Q402</f>
        <v>34240879.149999999</v>
      </c>
      <c r="J41" s="42">
        <f>'Ведомственная структура'!R584+'Ведомственная структура'!R402</f>
        <v>0</v>
      </c>
      <c r="K41" s="42">
        <f>'Ведомственная структура'!S584+'Ведомственная структура'!S402</f>
        <v>-2779620</v>
      </c>
      <c r="L41" s="42">
        <f>'Ведомственная структура'!T584+'Ведомственная структура'!T402</f>
        <v>2952000</v>
      </c>
      <c r="M41" s="42">
        <f>'Ведомственная структура'!U584+'Ведомственная структура'!U402</f>
        <v>21918879.149999999</v>
      </c>
      <c r="N41" s="42">
        <f>'Ведомственная структура'!V584+'Ведомственная структура'!V402</f>
        <v>12889694.75</v>
      </c>
      <c r="O41" s="42">
        <f>'Ведомственная структура'!W584+'Ведомственная структура'!W402</f>
        <v>0</v>
      </c>
      <c r="P41" s="42">
        <f>'Ведомственная структура'!X584+'Ведомственная структура'!X402</f>
        <v>0</v>
      </c>
      <c r="Q41" s="42">
        <f>'Ведомственная структура'!Y584+'Ведомственная структура'!Y402</f>
        <v>21918879.149999999</v>
      </c>
      <c r="R41" s="42">
        <f>'Ведомственная структура'!Z584+'Ведомственная структура'!Z402</f>
        <v>7625694.7499999991</v>
      </c>
      <c r="S41" s="42">
        <f>'Ведомственная структура'!AA584+'Ведомственная структура'!AA402</f>
        <v>0</v>
      </c>
      <c r="T41" s="42">
        <f>'Ведомственная структура'!AB584+'Ведомственная структура'!AB402</f>
        <v>7625694.7499999991</v>
      </c>
    </row>
    <row r="42" spans="1:20" x14ac:dyDescent="0.2">
      <c r="A42" s="23" t="s">
        <v>89</v>
      </c>
      <c r="B42" s="10" t="s">
        <v>73</v>
      </c>
      <c r="C42" s="11" t="s">
        <v>76</v>
      </c>
      <c r="D42" s="40">
        <f>'Ведомственная структура'!L599+'Ведомственная структура'!L410</f>
        <v>300000</v>
      </c>
      <c r="E42" s="40">
        <f>'Ведомственная структура'!M599+'Ведомственная структура'!M410</f>
        <v>0</v>
      </c>
      <c r="F42" s="40">
        <f>'Ведомственная структура'!N599+'Ведомственная структура'!N410+'Ведомственная структура'!N609+'Ведомственная структура'!N614</f>
        <v>0</v>
      </c>
      <c r="G42" s="40">
        <f>'Ведомственная структура'!O599+'Ведомственная структура'!O410+'Ведомственная структура'!O609+'Ведомственная структура'!O614</f>
        <v>0</v>
      </c>
      <c r="H42" s="40">
        <f>'Ведомственная структура'!P599+'Ведомственная структура'!P410+'Ведомственная структура'!P609+'Ведомственная структура'!P614</f>
        <v>0</v>
      </c>
      <c r="I42" s="40">
        <f>'Ведомственная структура'!Q599+'Ведомственная структура'!Q410+'Ведомственная структура'!Q609+'Ведомственная структура'!Q614</f>
        <v>21582214.550000001</v>
      </c>
      <c r="J42" s="40">
        <f>'Ведомственная структура'!R599+'Ведомственная структура'!R410+'Ведомственная структура'!R609+'Ведомственная структура'!R614</f>
        <v>0</v>
      </c>
      <c r="K42" s="40">
        <f>'Ведомственная структура'!S599+'Ведомственная структура'!S410+'Ведомственная структура'!S609+'Ведомственная структура'!S614</f>
        <v>618200</v>
      </c>
      <c r="L42" s="40">
        <f>'Ведомственная структура'!T599+'Ведомственная структура'!T410+'Ведомственная структура'!T609+'Ведомственная структура'!T614</f>
        <v>618200</v>
      </c>
      <c r="M42" s="40">
        <f>'Ведомственная структура'!U599+'Ведомственная структура'!U410+'Ведомственная структура'!U609+'Ведомственная структура'!U614</f>
        <v>47542416.960000001</v>
      </c>
      <c r="N42" s="40">
        <f>'Ведомственная структура'!V599+'Ведомственная структура'!V410+'Ведомственная структура'!V609+'Ведомственная структура'!V614</f>
        <v>10271409.42</v>
      </c>
      <c r="O42" s="40">
        <f>'Ведомственная структура'!W599+'Ведомственная структура'!W410+'Ведомственная структура'!W609+'Ведомственная структура'!W614</f>
        <v>0</v>
      </c>
      <c r="P42" s="40">
        <f>'Ведомственная структура'!X599+'Ведомственная структура'!X410+'Ведомственная структура'!X609+'Ведомственная структура'!X614</f>
        <v>34747</v>
      </c>
      <c r="Q42" s="40">
        <f>'Ведомственная структура'!Y599+'Ведомственная структура'!Y410+'Ведомственная структура'!Y609+'Ведомственная структура'!Y614</f>
        <v>47577163.960000001</v>
      </c>
      <c r="R42" s="40">
        <f>'Ведомственная структура'!Z599+'Ведомственная структура'!Z410+'Ведомственная структура'!Z609+'Ведомственная структура'!Z614</f>
        <v>38291637.93</v>
      </c>
      <c r="S42" s="40">
        <f>'Ведомственная структура'!AA599+'Ведомственная структура'!AA410+'Ведомственная структура'!AA609+'Ведомственная структура'!AA614</f>
        <v>34747</v>
      </c>
      <c r="T42" s="40">
        <f>'Ведомственная структура'!AB599+'Ведомственная структура'!AB410+'Ведомственная структура'!AB609+'Ведомственная структура'!AB614</f>
        <v>38326384.93</v>
      </c>
    </row>
    <row r="43" spans="1:20" x14ac:dyDescent="0.2">
      <c r="A43" s="23" t="s">
        <v>163</v>
      </c>
      <c r="B43" s="10" t="s">
        <v>73</v>
      </c>
      <c r="C43" s="11" t="s">
        <v>72</v>
      </c>
      <c r="D43" s="40">
        <f>'Ведомственная структура'!L626</f>
        <v>500000</v>
      </c>
      <c r="E43" s="40">
        <f>'Ведомственная структура'!M626</f>
        <v>0</v>
      </c>
      <c r="F43" s="40">
        <f>'Ведомственная структура'!N626</f>
        <v>0</v>
      </c>
      <c r="G43" s="40">
        <f>'Ведомственная структура'!O626</f>
        <v>0</v>
      </c>
      <c r="H43" s="40">
        <f>'Ведомственная структура'!P626+'Ведомственная структура'!P841</f>
        <v>17447672.699999999</v>
      </c>
      <c r="I43" s="40">
        <f>'Ведомственная структура'!Q626+'Ведомственная структура'!Q841</f>
        <v>11284137.68</v>
      </c>
      <c r="J43" s="40">
        <f>'Ведомственная структура'!R626+'Ведомственная структура'!R841</f>
        <v>0</v>
      </c>
      <c r="K43" s="40">
        <f>'Ведомственная структура'!S626+'Ведомственная структура'!S841</f>
        <v>4822500</v>
      </c>
      <c r="L43" s="40">
        <f>'Ведомственная структура'!T626+'Ведомственная структура'!T841</f>
        <v>22270172.699999999</v>
      </c>
      <c r="M43" s="40">
        <f>'Ведомственная структура'!U626+'Ведомственная структура'!U841</f>
        <v>10817415.08</v>
      </c>
      <c r="N43" s="40">
        <f>'Ведомственная структура'!V626+'Ведомственная структура'!V841</f>
        <v>7999486.9800000004</v>
      </c>
      <c r="O43" s="40">
        <f>'Ведомственная структура'!W626+'Ведомственная структура'!W841</f>
        <v>0</v>
      </c>
      <c r="P43" s="40">
        <f>'Ведомственная структура'!X626+'Ведомственная структура'!X841</f>
        <v>0</v>
      </c>
      <c r="Q43" s="40">
        <f>'Ведомственная структура'!Y626+'Ведомственная структура'!Y841</f>
        <v>10817415.08</v>
      </c>
      <c r="R43" s="40">
        <f>'Ведомственная структура'!Z626+'Ведомственная структура'!Z841</f>
        <v>7532764.3800000008</v>
      </c>
      <c r="S43" s="40">
        <f>'Ведомственная структура'!AA626+'Ведомственная структура'!AA841</f>
        <v>0</v>
      </c>
      <c r="T43" s="40">
        <f>'Ведомственная структура'!AB626+'Ведомственная структура'!AB841</f>
        <v>7532764.3800000008</v>
      </c>
    </row>
    <row r="44" spans="1:20" x14ac:dyDescent="0.2">
      <c r="A44" s="35" t="s">
        <v>208</v>
      </c>
      <c r="B44" s="13" t="s">
        <v>70</v>
      </c>
      <c r="C44" s="20"/>
      <c r="D44" s="458">
        <f t="shared" ref="D44:T44" si="5">D45</f>
        <v>5152900.67</v>
      </c>
      <c r="E44" s="458">
        <f t="shared" si="5"/>
        <v>0</v>
      </c>
      <c r="F44" s="458">
        <f t="shared" si="5"/>
        <v>956423</v>
      </c>
      <c r="G44" s="458">
        <f t="shared" si="5"/>
        <v>878564.53</v>
      </c>
      <c r="H44" s="458">
        <f t="shared" si="5"/>
        <v>1834987.53</v>
      </c>
      <c r="I44" s="458">
        <f t="shared" si="5"/>
        <v>10088105.18</v>
      </c>
      <c r="J44" s="458">
        <f t="shared" si="5"/>
        <v>0</v>
      </c>
      <c r="K44" s="458">
        <f t="shared" si="5"/>
        <v>700000</v>
      </c>
      <c r="L44" s="458">
        <f t="shared" si="5"/>
        <v>2534987.5300000003</v>
      </c>
      <c r="M44" s="458">
        <f t="shared" si="5"/>
        <v>10088105.18</v>
      </c>
      <c r="N44" s="458">
        <f t="shared" si="5"/>
        <v>12780234.560000001</v>
      </c>
      <c r="O44" s="458">
        <f t="shared" si="5"/>
        <v>0</v>
      </c>
      <c r="P44" s="458">
        <f t="shared" si="5"/>
        <v>0</v>
      </c>
      <c r="Q44" s="458">
        <f t="shared" si="5"/>
        <v>10088105.18</v>
      </c>
      <c r="R44" s="458">
        <f t="shared" si="5"/>
        <v>12780234.560000001</v>
      </c>
      <c r="S44" s="458">
        <f t="shared" si="5"/>
        <v>0</v>
      </c>
      <c r="T44" s="458">
        <f t="shared" si="5"/>
        <v>12780234.560000001</v>
      </c>
    </row>
    <row r="45" spans="1:20" x14ac:dyDescent="0.2">
      <c r="A45" s="34" t="s">
        <v>207</v>
      </c>
      <c r="B45" s="10" t="s">
        <v>70</v>
      </c>
      <c r="C45" s="11" t="s">
        <v>73</v>
      </c>
      <c r="D45" s="40">
        <f>'Ведомственная структура'!L647</f>
        <v>5152900.67</v>
      </c>
      <c r="E45" s="40">
        <f>'Ведомственная структура'!M647</f>
        <v>0</v>
      </c>
      <c r="F45" s="40">
        <f>'Ведомственная структура'!N647</f>
        <v>956423</v>
      </c>
      <c r="G45" s="40">
        <f>'Ведомственная структура'!O647</f>
        <v>878564.53</v>
      </c>
      <c r="H45" s="40">
        <f>'Ведомственная структура'!P647</f>
        <v>1834987.53</v>
      </c>
      <c r="I45" s="40">
        <f>'Ведомственная структура'!Q647</f>
        <v>10088105.18</v>
      </c>
      <c r="J45" s="40">
        <f>'Ведомственная структура'!R647</f>
        <v>0</v>
      </c>
      <c r="K45" s="40">
        <f>'Ведомственная структура'!S647</f>
        <v>700000</v>
      </c>
      <c r="L45" s="40">
        <f>'Ведомственная структура'!T647</f>
        <v>2534987.5300000003</v>
      </c>
      <c r="M45" s="40">
        <f>'Ведомственная структура'!U647</f>
        <v>10088105.18</v>
      </c>
      <c r="N45" s="40">
        <f>'Ведомственная структура'!V647</f>
        <v>12780234.560000001</v>
      </c>
      <c r="O45" s="40">
        <f>'Ведомственная структура'!W647</f>
        <v>0</v>
      </c>
      <c r="P45" s="40">
        <f>'Ведомственная структура'!X647</f>
        <v>0</v>
      </c>
      <c r="Q45" s="40">
        <f>'Ведомственная структура'!Y647</f>
        <v>10088105.18</v>
      </c>
      <c r="R45" s="40">
        <f>'Ведомственная структура'!Z647</f>
        <v>12780234.560000001</v>
      </c>
      <c r="S45" s="40">
        <f>'Ведомственная структура'!AA647</f>
        <v>0</v>
      </c>
      <c r="T45" s="40">
        <f>'Ведомственная структура'!AB647</f>
        <v>12780234.560000001</v>
      </c>
    </row>
    <row r="46" spans="1:20" x14ac:dyDescent="0.2">
      <c r="A46" s="24" t="s">
        <v>78</v>
      </c>
      <c r="B46" s="13" t="s">
        <v>74</v>
      </c>
      <c r="C46" s="11"/>
      <c r="D46" s="41" t="e">
        <f t="shared" ref="D46:R46" si="6">SUM(D47:D52)</f>
        <v>#REF!</v>
      </c>
      <c r="E46" s="41" t="e">
        <f t="shared" si="6"/>
        <v>#REF!</v>
      </c>
      <c r="F46" s="41" t="e">
        <f t="shared" si="6"/>
        <v>#REF!</v>
      </c>
      <c r="G46" s="41" t="e">
        <f t="shared" si="6"/>
        <v>#REF!</v>
      </c>
      <c r="H46" s="41">
        <f t="shared" si="6"/>
        <v>1267137700.0100002</v>
      </c>
      <c r="I46" s="41">
        <f t="shared" si="6"/>
        <v>2250897164.29</v>
      </c>
      <c r="J46" s="41">
        <f t="shared" si="6"/>
        <v>3165163.2200000007</v>
      </c>
      <c r="K46" s="41">
        <f>SUM(K47:K52)</f>
        <v>3049597.26</v>
      </c>
      <c r="L46" s="41">
        <f>SUM(L47:L52)</f>
        <v>1270187297.27</v>
      </c>
      <c r="M46" s="41">
        <f t="shared" si="6"/>
        <v>1331586420.29</v>
      </c>
      <c r="N46" s="41">
        <f t="shared" si="6"/>
        <v>2294127004.3500004</v>
      </c>
      <c r="O46" s="41">
        <f t="shared" si="6"/>
        <v>-1777109.4499999993</v>
      </c>
      <c r="P46" s="41">
        <f>SUM(P47:P52)</f>
        <v>3203464.81</v>
      </c>
      <c r="Q46" s="41">
        <f>SUM(Q47:Q52)</f>
        <v>1334789885.0999999</v>
      </c>
      <c r="R46" s="41">
        <f t="shared" si="6"/>
        <v>1414480857.5999999</v>
      </c>
      <c r="S46" s="41">
        <f>SUM(S47:S52)</f>
        <v>4589955.2</v>
      </c>
      <c r="T46" s="41">
        <f>SUM(T47:T52)</f>
        <v>1419070812.8</v>
      </c>
    </row>
    <row r="47" spans="1:20" x14ac:dyDescent="0.2">
      <c r="A47" s="23" t="s">
        <v>152</v>
      </c>
      <c r="B47" s="10" t="s">
        <v>74</v>
      </c>
      <c r="C47" s="11" t="s">
        <v>69</v>
      </c>
      <c r="D47" s="42" t="e">
        <f>'Ведомственная структура'!L20</f>
        <v>#REF!</v>
      </c>
      <c r="E47" s="42" t="e">
        <f>'Ведомственная структура'!M20</f>
        <v>#REF!</v>
      </c>
      <c r="F47" s="42">
        <f>'Ведомственная структура'!N20</f>
        <v>303020000</v>
      </c>
      <c r="G47" s="42">
        <f>'Ведомственная структура'!O20</f>
        <v>0</v>
      </c>
      <c r="H47" s="42">
        <f>'Ведомственная структура'!P20</f>
        <v>304254100</v>
      </c>
      <c r="I47" s="42">
        <f>'Ведомственная структура'!Q20</f>
        <v>498767100</v>
      </c>
      <c r="J47" s="42">
        <f>'Ведомственная структура'!R20</f>
        <v>-2000000</v>
      </c>
      <c r="K47" s="42">
        <f>'Ведомственная структура'!S20</f>
        <v>-2605023</v>
      </c>
      <c r="L47" s="42">
        <f>'Ведомственная структура'!T20</f>
        <v>301649077</v>
      </c>
      <c r="M47" s="42">
        <f>'Ведомственная структура'!U20</f>
        <v>312767100</v>
      </c>
      <c r="N47" s="42">
        <f>'Ведомственная структура'!V20</f>
        <v>510767100</v>
      </c>
      <c r="O47" s="42">
        <f>'Ведомственная структура'!W20</f>
        <v>-2000000</v>
      </c>
      <c r="P47" s="42">
        <f>'Ведомственная структура'!X20</f>
        <v>0</v>
      </c>
      <c r="Q47" s="42">
        <f>'Ведомственная структура'!Y20</f>
        <v>312767100</v>
      </c>
      <c r="R47" s="42">
        <f>'Ведомственная структура'!Z20</f>
        <v>318767100</v>
      </c>
      <c r="S47" s="42">
        <f>'Ведомственная структура'!AA20</f>
        <v>0</v>
      </c>
      <c r="T47" s="42">
        <f>'Ведомственная структура'!AB20</f>
        <v>318767100</v>
      </c>
    </row>
    <row r="48" spans="1:20" x14ac:dyDescent="0.2">
      <c r="A48" s="23" t="s">
        <v>90</v>
      </c>
      <c r="B48" s="10" t="s">
        <v>74</v>
      </c>
      <c r="C48" s="11" t="s">
        <v>76</v>
      </c>
      <c r="D48" s="40" t="e">
        <f>'Ведомственная структура'!L43</f>
        <v>#REF!</v>
      </c>
      <c r="E48" s="40" t="e">
        <f>'Ведомственная структура'!M43</f>
        <v>#REF!</v>
      </c>
      <c r="F48" s="40" t="e">
        <f>'Ведомственная структура'!N43</f>
        <v>#REF!</v>
      </c>
      <c r="G48" s="40" t="e">
        <f>'Ведомственная структура'!O43</f>
        <v>#REF!</v>
      </c>
      <c r="H48" s="40">
        <f>'Ведомственная структура'!P43+'Ведомственная структура'!P416</f>
        <v>868353410.44000006</v>
      </c>
      <c r="I48" s="40">
        <f>'Ведомственная структура'!Q43+'Ведомственная структура'!Q416</f>
        <v>1296323086.8699999</v>
      </c>
      <c r="J48" s="40">
        <f>'Ведомственная структура'!R43+'Ведомственная структура'!R416</f>
        <v>-4524262.76</v>
      </c>
      <c r="K48" s="40">
        <f>'Ведомственная структура'!S43+'Ведомственная структура'!S416</f>
        <v>5235463</v>
      </c>
      <c r="L48" s="40">
        <f>'Ведомственная структура'!T43+'Ведомственная структура'!T416</f>
        <v>873588873.44000006</v>
      </c>
      <c r="M48" s="40">
        <f>'Ведомственная структура'!U43+'Ведомственная структура'!U416</f>
        <v>922719322.30999994</v>
      </c>
      <c r="N48" s="40">
        <f>'Ведомственная структура'!V43+'Ведомственная структура'!V416</f>
        <v>1311169653.0600002</v>
      </c>
      <c r="O48" s="40">
        <f>'Ведомственная структура'!W43+'Ведомственная структура'!W416</f>
        <v>-5086341.8499999996</v>
      </c>
      <c r="P48" s="40">
        <f>'Ведомственная структура'!X43+'Ведомственная структура'!X416</f>
        <v>3017090.89</v>
      </c>
      <c r="Q48" s="40">
        <f>'Ведомственная структура'!Y43+'Ведомственная структура'!Y416</f>
        <v>925736413.19999993</v>
      </c>
      <c r="R48" s="40">
        <f>'Ведомственная структура'!Z43+'Ведомственная структура'!Z416</f>
        <v>998375930.23000002</v>
      </c>
      <c r="S48" s="40">
        <f>'Ведомственная структура'!AA43+'Ведомственная структура'!AA416</f>
        <v>4403581.28</v>
      </c>
      <c r="T48" s="40">
        <f>'Ведомственная структура'!AB43+'Ведомственная структура'!AB416</f>
        <v>1002779511.51</v>
      </c>
    </row>
    <row r="49" spans="1:20" x14ac:dyDescent="0.2">
      <c r="A49" s="18" t="s">
        <v>181</v>
      </c>
      <c r="B49" s="10" t="s">
        <v>74</v>
      </c>
      <c r="C49" s="11" t="s">
        <v>72</v>
      </c>
      <c r="D49" s="40" t="e">
        <f>'Ведомственная структура'!#REF!+'Ведомственная структура'!L687</f>
        <v>#REF!</v>
      </c>
      <c r="E49" s="40" t="e">
        <f>'Ведомственная структура'!#REF!+'Ведомственная структура'!M687</f>
        <v>#REF!</v>
      </c>
      <c r="F49" s="40">
        <f>'Ведомственная структура'!N88+'Ведомственная структура'!N687</f>
        <v>61024875.560000002</v>
      </c>
      <c r="G49" s="40">
        <f>'Ведомственная структура'!O88+'Ведомственная структура'!O687</f>
        <v>109964.40000000002</v>
      </c>
      <c r="H49" s="40">
        <f>'Ведомственная структура'!P88+'Ведомственная структура'!P687</f>
        <v>61821395.519999996</v>
      </c>
      <c r="I49" s="40">
        <f>'Ведомственная структура'!Q88+'Ведомственная структура'!Q687</f>
        <v>241373637.56</v>
      </c>
      <c r="J49" s="40">
        <f>'Ведомственная структура'!R88+'Ведомственная структура'!R687</f>
        <v>5292457.4000000004</v>
      </c>
      <c r="K49" s="40">
        <f>'Ведомственная структура'!S88+'Ведомственная структура'!S687</f>
        <v>-229492.2</v>
      </c>
      <c r="L49" s="40">
        <f>'Ведомственная структура'!T88+'Ведомственная структура'!T687</f>
        <v>61591903.319999993</v>
      </c>
      <c r="M49" s="40">
        <f>'Ведомственная структура'!U88+'Ведомственная структура'!U687</f>
        <v>62529413.960000001</v>
      </c>
      <c r="N49" s="40">
        <f>'Ведомственная структура'!V88+'Ведомственная структура'!V687</f>
        <v>247675524.56</v>
      </c>
      <c r="O49" s="40">
        <f>'Ведомственная структура'!W88+'Ведомственная структура'!W687</f>
        <v>5309232.4000000004</v>
      </c>
      <c r="P49" s="40">
        <f>'Ведомственная структура'!X88+'Ведомственная структура'!X687</f>
        <v>0</v>
      </c>
      <c r="Q49" s="40">
        <f>'Ведомственная структура'!Y88+'Ведомственная структура'!Y687</f>
        <v>62529413.960000001</v>
      </c>
      <c r="R49" s="40">
        <f>'Ведомственная структура'!Z88+'Ведомственная структура'!Z687</f>
        <v>62848075.960000001</v>
      </c>
      <c r="S49" s="40">
        <f>'Ведомственная структура'!AA88+'Ведомственная структура'!AA687</f>
        <v>0</v>
      </c>
      <c r="T49" s="40">
        <f>'Ведомственная структура'!AB88+'Ведомственная структура'!AB687</f>
        <v>62848075.960000001</v>
      </c>
    </row>
    <row r="50" spans="1:20" ht="25.5" x14ac:dyDescent="0.2">
      <c r="A50" s="18" t="s">
        <v>191</v>
      </c>
      <c r="B50" s="10" t="s">
        <v>74</v>
      </c>
      <c r="C50" s="11" t="s">
        <v>73</v>
      </c>
      <c r="D50" s="40" t="e">
        <f>'Ведомственная структура'!#REF!+'Ведомственная структура'!#REF!</f>
        <v>#REF!</v>
      </c>
      <c r="E50" s="40" t="e">
        <f>'Ведомственная структура'!#REF!+'Ведомственная структура'!#REF!</f>
        <v>#REF!</v>
      </c>
      <c r="F50" s="40">
        <f>'Ведомственная структура'!N192+'Ведомственная структура'!N421</f>
        <v>0</v>
      </c>
      <c r="G50" s="40">
        <f>'Ведомственная структура'!O192+'Ведомственная структура'!O421</f>
        <v>0</v>
      </c>
      <c r="H50" s="40">
        <f>'Ведомственная структура'!P192+'Ведомственная структура'!P421</f>
        <v>0</v>
      </c>
      <c r="I50" s="40">
        <f>'Ведомственная структура'!Q192+'Ведомственная структура'!Q421</f>
        <v>197500</v>
      </c>
      <c r="J50" s="40">
        <f>'Ведомственная структура'!R192+'Ведомственная структура'!R421</f>
        <v>0</v>
      </c>
      <c r="K50" s="40">
        <f>'Ведомственная структура'!S192+'Ведомственная структура'!S421</f>
        <v>4770</v>
      </c>
      <c r="L50" s="40">
        <f>'Ведомственная структура'!T192+'Ведомственная структура'!T421</f>
        <v>4770</v>
      </c>
      <c r="M50" s="40">
        <f>'Ведомственная структура'!U192+'Ведомственная структура'!U421</f>
        <v>197500</v>
      </c>
      <c r="N50" s="40">
        <f>'Ведомственная структура'!V192+'Ведомственная структура'!V421</f>
        <v>162000</v>
      </c>
      <c r="O50" s="40">
        <f>'Ведомственная структура'!W192+'Ведомственная структура'!W421</f>
        <v>0</v>
      </c>
      <c r="P50" s="40">
        <f>'Ведомственная структура'!X192+'Ведомственная структура'!X421</f>
        <v>0</v>
      </c>
      <c r="Q50" s="40">
        <f>'Ведомственная структура'!Y192+'Ведомственная структура'!Y421</f>
        <v>197500</v>
      </c>
      <c r="R50" s="40">
        <f>'Ведомственная структура'!Z192+'Ведомственная структура'!Z421</f>
        <v>162000</v>
      </c>
      <c r="S50" s="40">
        <f>'Ведомственная структура'!AA192+'Ведомственная структура'!AA421</f>
        <v>0</v>
      </c>
      <c r="T50" s="40">
        <f>'Ведомственная структура'!AB192+'Ведомственная структура'!AB421</f>
        <v>162000</v>
      </c>
    </row>
    <row r="51" spans="1:20" x14ac:dyDescent="0.2">
      <c r="A51" s="23" t="s">
        <v>180</v>
      </c>
      <c r="B51" s="10" t="s">
        <v>74</v>
      </c>
      <c r="C51" s="11" t="s">
        <v>74</v>
      </c>
      <c r="D51" s="40" t="e">
        <f>'Ведомственная структура'!L702+'Ведомственная структура'!#REF!+'Ведомственная структура'!L115</f>
        <v>#REF!</v>
      </c>
      <c r="E51" s="40" t="e">
        <f>'Ведомственная структура'!M702+'Ведомственная структура'!#REF!+'Ведомственная структура'!M115</f>
        <v>#REF!</v>
      </c>
      <c r="F51" s="40">
        <f>'Ведомственная структура'!N115+'Ведомственная структура'!N426+'Ведомственная структура'!N702</f>
        <v>0</v>
      </c>
      <c r="G51" s="40">
        <f>'Ведомственная структура'!O115+'Ведомственная структура'!O426+'Ведомственная структура'!O702</f>
        <v>0</v>
      </c>
      <c r="H51" s="40">
        <f>'Ведомственная структура'!P115+'Ведомственная структура'!P426+'Ведомственная структура'!P702</f>
        <v>4417244.16</v>
      </c>
      <c r="I51" s="40">
        <f>'Ведомственная структура'!Q115+'Ведомственная структура'!Q426+'Ведомственная структура'!Q702</f>
        <v>1685450</v>
      </c>
      <c r="J51" s="40">
        <f>'Ведомственная структура'!R115+'Ведомственная структура'!R426+'Ведомственная структура'!R702</f>
        <v>4396968.58</v>
      </c>
      <c r="K51" s="40">
        <f>'Ведомственная структура'!S115+'Ведомственная структура'!S426+'Ведомственная структура'!S702</f>
        <v>492500</v>
      </c>
      <c r="L51" s="40">
        <f>'Ведомственная структура'!T115+'Ведомственная структура'!T426+'Ведомственная структура'!T702</f>
        <v>4909744.16</v>
      </c>
      <c r="M51" s="40">
        <f>'Ведомственная структура'!U115+'Ведомственная структура'!U426+'Ведомственная структура'!U702</f>
        <v>4952694.16</v>
      </c>
      <c r="N51" s="40">
        <f>'Ведомственная структура'!V115+'Ведомственная структура'!V426+'Ведомственная структура'!V702</f>
        <v>5682694.1600000001</v>
      </c>
      <c r="O51" s="40">
        <f>'Ведомственная структура'!W115+'Ведомственная структура'!W426+'Ведомственная структура'!W702</f>
        <v>0</v>
      </c>
      <c r="P51" s="40">
        <f>'Ведомственная структура'!X115+'Ведомственная структура'!X426+'Ведомственная структура'!X702</f>
        <v>0</v>
      </c>
      <c r="Q51" s="40">
        <f>'Ведомственная структура'!Y115+'Ведомственная структура'!Y426+'Ведомственная структура'!Y702</f>
        <v>4952694.16</v>
      </c>
      <c r="R51" s="40">
        <f>'Ведомственная структура'!Z115+'Ведомственная структура'!Z426+'Ведомственная структура'!Z702</f>
        <v>5787718.8399999999</v>
      </c>
      <c r="S51" s="40">
        <f>'Ведомственная структура'!AA115+'Ведомственная структура'!AA426+'Ведомственная структура'!AA702</f>
        <v>0</v>
      </c>
      <c r="T51" s="40">
        <f>'Ведомственная структура'!AB115+'Ведомственная структура'!AB426+'Ведомственная структура'!AB702</f>
        <v>5787718.8399999999</v>
      </c>
    </row>
    <row r="52" spans="1:20" x14ac:dyDescent="0.2">
      <c r="A52" s="23" t="s">
        <v>91</v>
      </c>
      <c r="B52" s="10" t="s">
        <v>74</v>
      </c>
      <c r="C52" s="11" t="s">
        <v>86</v>
      </c>
      <c r="D52" s="40" t="e">
        <f>'Ведомственная структура'!L125+'Ведомственная структура'!L434</f>
        <v>#REF!</v>
      </c>
      <c r="E52" s="40" t="e">
        <f>'Ведомственная структура'!M125+'Ведомственная структура'!M434</f>
        <v>#REF!</v>
      </c>
      <c r="F52" s="40">
        <f>'Ведомственная структура'!N125+'Ведомственная структура'!N434</f>
        <v>27989101.550000001</v>
      </c>
      <c r="G52" s="40">
        <f>'Ведомственная структура'!O125+'Ведомственная структура'!O434</f>
        <v>0</v>
      </c>
      <c r="H52" s="40">
        <f>'Ведомственная структура'!P125+'Ведомственная структура'!P434</f>
        <v>28291549.890000001</v>
      </c>
      <c r="I52" s="40">
        <f>'Ведомственная структура'!Q125+'Ведомственная структура'!Q434</f>
        <v>212550389.86000001</v>
      </c>
      <c r="J52" s="40">
        <f>'Ведомственная структура'!R125+'Ведомственная структура'!R434</f>
        <v>0</v>
      </c>
      <c r="K52" s="40">
        <f>'Ведомственная структура'!S125+'Ведомственная структура'!S434</f>
        <v>151379.46</v>
      </c>
      <c r="L52" s="40">
        <f>'Ведомственная структура'!T125+'Ведомственная структура'!T434</f>
        <v>28442929.350000001</v>
      </c>
      <c r="M52" s="40">
        <f>'Ведомственная структура'!U125+'Ведомственная структура'!U434</f>
        <v>28420389.859999999</v>
      </c>
      <c r="N52" s="40">
        <f>'Ведомственная структура'!V125+'Ведомственная структура'!V434</f>
        <v>218670032.56999999</v>
      </c>
      <c r="O52" s="40">
        <f>'Ведомственная структура'!W125+'Ведомственная структура'!W434</f>
        <v>0</v>
      </c>
      <c r="P52" s="40">
        <f>'Ведомственная структура'!X125+'Ведомственная структура'!X434</f>
        <v>186373.92</v>
      </c>
      <c r="Q52" s="40">
        <f>'Ведомственная структура'!Y125+'Ведомственная структура'!Y434</f>
        <v>28606763.780000001</v>
      </c>
      <c r="R52" s="40">
        <f>'Ведомственная структура'!Z125+'Ведомственная структура'!Z434</f>
        <v>28540032.57</v>
      </c>
      <c r="S52" s="40">
        <f>'Ведомственная структура'!AA125+'Ведомственная структура'!AA434</f>
        <v>186373.92</v>
      </c>
      <c r="T52" s="40">
        <f>'Ведомственная структура'!AB125+'Ведомственная структура'!AB434</f>
        <v>28726406.490000002</v>
      </c>
    </row>
    <row r="53" spans="1:20" x14ac:dyDescent="0.2">
      <c r="A53" s="24" t="s">
        <v>36</v>
      </c>
      <c r="B53" s="13" t="s">
        <v>75</v>
      </c>
      <c r="C53" s="11"/>
      <c r="D53" s="41" t="e">
        <f t="shared" ref="D53:R53" si="7">SUM(D54:D55)</f>
        <v>#REF!</v>
      </c>
      <c r="E53" s="41" t="e">
        <f t="shared" si="7"/>
        <v>#REF!</v>
      </c>
      <c r="F53" s="41">
        <f t="shared" si="7"/>
        <v>315508729.33000004</v>
      </c>
      <c r="G53" s="41">
        <f t="shared" si="7"/>
        <v>9133581.6799999997</v>
      </c>
      <c r="H53" s="41">
        <f t="shared" si="7"/>
        <v>348301866.56999999</v>
      </c>
      <c r="I53" s="41">
        <f t="shared" si="7"/>
        <v>379778639.85000002</v>
      </c>
      <c r="J53" s="41">
        <f t="shared" si="7"/>
        <v>-70786.55</v>
      </c>
      <c r="K53" s="41">
        <f>SUM(K54:K55)</f>
        <v>13194717</v>
      </c>
      <c r="L53" s="41">
        <f>SUM(L54:L55)</f>
        <v>361496583.57000005</v>
      </c>
      <c r="M53" s="41">
        <f t="shared" si="7"/>
        <v>290200587.03000003</v>
      </c>
      <c r="N53" s="41">
        <f t="shared" si="7"/>
        <v>202252633.58000001</v>
      </c>
      <c r="O53" s="41">
        <f t="shared" si="7"/>
        <v>-33268.559999999998</v>
      </c>
      <c r="P53" s="41">
        <f>SUM(P54:P55)</f>
        <v>0</v>
      </c>
      <c r="Q53" s="41">
        <f>SUM(Q54:Q55)</f>
        <v>290200587.03000003</v>
      </c>
      <c r="R53" s="41">
        <f t="shared" si="7"/>
        <v>201339365.02000001</v>
      </c>
      <c r="S53" s="41">
        <f>SUM(S54:S55)</f>
        <v>0</v>
      </c>
      <c r="T53" s="41">
        <f>SUM(T54:T55)</f>
        <v>201339365.02000001</v>
      </c>
    </row>
    <row r="54" spans="1:20" x14ac:dyDescent="0.2">
      <c r="A54" s="23" t="s">
        <v>92</v>
      </c>
      <c r="B54" s="10" t="s">
        <v>75</v>
      </c>
      <c r="C54" s="11" t="s">
        <v>69</v>
      </c>
      <c r="D54" s="40" t="e">
        <f>'Ведомственная структура'!L712+'Ведомственная структура'!L443</f>
        <v>#REF!</v>
      </c>
      <c r="E54" s="40" t="e">
        <f>'Ведомственная структура'!M712+'Ведомственная структура'!M443</f>
        <v>#REF!</v>
      </c>
      <c r="F54" s="40">
        <f>'Ведомственная структура'!N712+'Ведомственная структура'!N443</f>
        <v>306810168.59000003</v>
      </c>
      <c r="G54" s="40">
        <f>'Ведомственная структура'!O712+'Ведомственная структура'!O443</f>
        <v>9133581.6799999997</v>
      </c>
      <c r="H54" s="40">
        <f>'Ведомственная структура'!P712+'Ведомственная структура'!P443</f>
        <v>339603305.82999998</v>
      </c>
      <c r="I54" s="40">
        <f>'Ведомственная структура'!Q712+'Ведомственная структура'!Q443</f>
        <v>371080079.11000001</v>
      </c>
      <c r="J54" s="40">
        <f>'Ведомственная структура'!R712+'Ведомственная структура'!R443</f>
        <v>-70786.55</v>
      </c>
      <c r="K54" s="40">
        <f>'Ведомственная структура'!S712+'Ведомственная структура'!S443</f>
        <v>13194717</v>
      </c>
      <c r="L54" s="40">
        <f>'Ведомственная структура'!T712+'Ведомственная структура'!T443</f>
        <v>352798022.83000004</v>
      </c>
      <c r="M54" s="40">
        <f>'Ведомственная структура'!U712+'Ведомственная структура'!U443</f>
        <v>281502026.29000002</v>
      </c>
      <c r="N54" s="40">
        <f>'Ведомственная структура'!V712+'Ведомственная структура'!V443</f>
        <v>193554072.84</v>
      </c>
      <c r="O54" s="40">
        <f>'Ведомственная структура'!W712+'Ведомственная структура'!W443</f>
        <v>-33268.559999999998</v>
      </c>
      <c r="P54" s="40">
        <f>'Ведомственная структура'!X712+'Ведомственная структура'!X443</f>
        <v>0</v>
      </c>
      <c r="Q54" s="40">
        <f>'Ведомственная структура'!Y712+'Ведомственная структура'!Y443</f>
        <v>281502026.29000002</v>
      </c>
      <c r="R54" s="40">
        <f>'Ведомственная структура'!Z712+'Ведомственная структура'!Z443</f>
        <v>192640804.28</v>
      </c>
      <c r="S54" s="40">
        <f>'Ведомственная структура'!AA712+'Ведомственная структура'!AA443</f>
        <v>0</v>
      </c>
      <c r="T54" s="40">
        <f>'Ведомственная структура'!AB712+'Ведомственная структура'!AB443</f>
        <v>192640804.28</v>
      </c>
    </row>
    <row r="55" spans="1:20" x14ac:dyDescent="0.2">
      <c r="A55" s="23" t="s">
        <v>41</v>
      </c>
      <c r="B55" s="10" t="s">
        <v>75</v>
      </c>
      <c r="C55" s="11" t="s">
        <v>71</v>
      </c>
      <c r="D55" s="40">
        <f>'Ведомственная структура'!L771</f>
        <v>5729400</v>
      </c>
      <c r="E55" s="40">
        <f>'Ведомственная структура'!M771</f>
        <v>0</v>
      </c>
      <c r="F55" s="40">
        <f>'Ведомственная структура'!N771</f>
        <v>8698560.7400000002</v>
      </c>
      <c r="G55" s="40">
        <f>'Ведомственная структура'!O771</f>
        <v>0</v>
      </c>
      <c r="H55" s="40">
        <f>'Ведомственная структура'!P771</f>
        <v>8698560.7400000002</v>
      </c>
      <c r="I55" s="40">
        <f>'Ведомственная структура'!Q771</f>
        <v>8698560.7400000002</v>
      </c>
      <c r="J55" s="40">
        <f>'Ведомственная структура'!R771</f>
        <v>0</v>
      </c>
      <c r="K55" s="40">
        <f>'Ведомственная структура'!S771</f>
        <v>0</v>
      </c>
      <c r="L55" s="40">
        <f>'Ведомственная структура'!T771</f>
        <v>8698560.7400000002</v>
      </c>
      <c r="M55" s="40">
        <f>'Ведомственная структура'!U771</f>
        <v>8698560.7400000002</v>
      </c>
      <c r="N55" s="40">
        <f>'Ведомственная структура'!V771</f>
        <v>8698560.7400000002</v>
      </c>
      <c r="O55" s="40">
        <f>'Ведомственная структура'!W771</f>
        <v>0</v>
      </c>
      <c r="P55" s="40">
        <f>'Ведомственная структура'!X771</f>
        <v>0</v>
      </c>
      <c r="Q55" s="40">
        <f>'Ведомственная структура'!Y771</f>
        <v>8698560.7400000002</v>
      </c>
      <c r="R55" s="40">
        <f>'Ведомственная структура'!Z771</f>
        <v>8698560.7400000002</v>
      </c>
      <c r="S55" s="40">
        <f>'Ведомственная структура'!AA771</f>
        <v>0</v>
      </c>
      <c r="T55" s="40">
        <f>'Ведомственная структура'!AB771</f>
        <v>8698560.7400000002</v>
      </c>
    </row>
    <row r="56" spans="1:20" x14ac:dyDescent="0.2">
      <c r="A56" s="24" t="s">
        <v>79</v>
      </c>
      <c r="B56" s="13" t="s">
        <v>88</v>
      </c>
      <c r="C56" s="11"/>
      <c r="D56" s="459" t="e">
        <f t="shared" ref="D56:R56" si="8">SUM(D57:D61)</f>
        <v>#REF!</v>
      </c>
      <c r="E56" s="459" t="e">
        <f t="shared" si="8"/>
        <v>#REF!</v>
      </c>
      <c r="F56" s="459">
        <f t="shared" si="8"/>
        <v>18416942.789999999</v>
      </c>
      <c r="G56" s="459">
        <f t="shared" si="8"/>
        <v>-8776.1</v>
      </c>
      <c r="H56" s="459">
        <f t="shared" si="8"/>
        <v>24463719.829999998</v>
      </c>
      <c r="I56" s="459">
        <f t="shared" si="8"/>
        <v>21217520.839999996</v>
      </c>
      <c r="J56" s="459">
        <f t="shared" si="8"/>
        <v>-869170</v>
      </c>
      <c r="K56" s="459">
        <f>SUM(K57:K61)</f>
        <v>1112612.71</v>
      </c>
      <c r="L56" s="459">
        <f>SUM(L57:L61)</f>
        <v>25576332.539999999</v>
      </c>
      <c r="M56" s="459">
        <f t="shared" si="8"/>
        <v>20348350.839999996</v>
      </c>
      <c r="N56" s="459">
        <f t="shared" si="8"/>
        <v>21417133.18</v>
      </c>
      <c r="O56" s="459">
        <f t="shared" si="8"/>
        <v>-3409600</v>
      </c>
      <c r="P56" s="459">
        <f>SUM(P57:P61)</f>
        <v>0</v>
      </c>
      <c r="Q56" s="459">
        <f>SUM(Q57:Q61)</f>
        <v>20348350.839999996</v>
      </c>
      <c r="R56" s="459">
        <f t="shared" si="8"/>
        <v>18007533.18</v>
      </c>
      <c r="S56" s="459">
        <f>SUM(S57:S61)</f>
        <v>0</v>
      </c>
      <c r="T56" s="459">
        <f>SUM(T57:T61)</f>
        <v>18007533.18</v>
      </c>
    </row>
    <row r="57" spans="1:20" x14ac:dyDescent="0.2">
      <c r="A57" s="23" t="s">
        <v>99</v>
      </c>
      <c r="B57" s="10" t="s">
        <v>88</v>
      </c>
      <c r="C57" s="11" t="s">
        <v>69</v>
      </c>
      <c r="D57" s="40">
        <f>'Ведомственная структура'!L458</f>
        <v>4654000</v>
      </c>
      <c r="E57" s="40">
        <f>'Ведомственная структура'!M458</f>
        <v>0</v>
      </c>
      <c r="F57" s="40">
        <f>'Ведомственная структура'!N458</f>
        <v>5521011.9699999997</v>
      </c>
      <c r="G57" s="40">
        <f>'Ведомственная структура'!O458</f>
        <v>0</v>
      </c>
      <c r="H57" s="40">
        <f>'Ведомственная структура'!P458</f>
        <v>6456464.6399999997</v>
      </c>
      <c r="I57" s="40">
        <f>'Ведомственная структура'!Q458</f>
        <v>5521011.9699999997</v>
      </c>
      <c r="J57" s="40">
        <f>'Ведомственная структура'!R458</f>
        <v>0</v>
      </c>
      <c r="K57" s="40">
        <f>'Ведомственная структура'!S458</f>
        <v>0</v>
      </c>
      <c r="L57" s="40">
        <f>'Ведомственная структура'!T458</f>
        <v>6456464.6399999997</v>
      </c>
      <c r="M57" s="40">
        <f>'Ведомственная структура'!U458</f>
        <v>5521011.9699999997</v>
      </c>
      <c r="N57" s="40">
        <f>'Ведомственная структура'!V458</f>
        <v>5521011.9699999997</v>
      </c>
      <c r="O57" s="40">
        <f>'Ведомственная структура'!W458</f>
        <v>0</v>
      </c>
      <c r="P57" s="40">
        <f>'Ведомственная структура'!X458</f>
        <v>0</v>
      </c>
      <c r="Q57" s="40">
        <f>'Ведомственная структура'!Y458</f>
        <v>5521011.9699999997</v>
      </c>
      <c r="R57" s="40">
        <f>'Ведомственная структура'!Z458</f>
        <v>5521011.9699999997</v>
      </c>
      <c r="S57" s="40">
        <f>'Ведомственная структура'!AA458</f>
        <v>0</v>
      </c>
      <c r="T57" s="40">
        <f>'Ведомственная структура'!AB458</f>
        <v>5521011.9699999997</v>
      </c>
    </row>
    <row r="58" spans="1:20" x14ac:dyDescent="0.2">
      <c r="A58" s="23" t="s">
        <v>97</v>
      </c>
      <c r="B58" s="10" t="s">
        <v>88</v>
      </c>
      <c r="C58" s="11" t="s">
        <v>72</v>
      </c>
      <c r="D58" s="40">
        <f>'Ведомственная структура'!L463</f>
        <v>540000</v>
      </c>
      <c r="E58" s="40">
        <f>'Ведомственная структура'!M463</f>
        <v>0</v>
      </c>
      <c r="F58" s="40">
        <f>'Ведомственная структура'!N463</f>
        <v>0</v>
      </c>
      <c r="G58" s="40">
        <f>'Ведомственная структура'!O463</f>
        <v>0</v>
      </c>
      <c r="H58" s="40">
        <f>'Ведомственная структура'!P463</f>
        <v>3349713.18</v>
      </c>
      <c r="I58" s="40">
        <f>'Ведомственная структура'!Q463</f>
        <v>720000</v>
      </c>
      <c r="J58" s="40">
        <f>'Ведомственная структура'!R463</f>
        <v>0</v>
      </c>
      <c r="K58" s="40">
        <f>'Ведомственная структура'!S463</f>
        <v>100000</v>
      </c>
      <c r="L58" s="40">
        <f>'Ведомственная структура'!T463</f>
        <v>3449713.18</v>
      </c>
      <c r="M58" s="40">
        <f>'Ведомственная структура'!U463</f>
        <v>720000</v>
      </c>
      <c r="N58" s="40">
        <f>'Ведомственная структура'!V463</f>
        <v>720000</v>
      </c>
      <c r="O58" s="40">
        <f>'Ведомственная структура'!W463</f>
        <v>0</v>
      </c>
      <c r="P58" s="40">
        <f>'Ведомственная структура'!X463</f>
        <v>0</v>
      </c>
      <c r="Q58" s="40">
        <f>'Ведомственная структура'!Y463</f>
        <v>720000</v>
      </c>
      <c r="R58" s="40">
        <f>'Ведомственная структура'!Z463</f>
        <v>720000</v>
      </c>
      <c r="S58" s="40">
        <f>'Ведомственная структура'!AA463</f>
        <v>0</v>
      </c>
      <c r="T58" s="40">
        <f>'Ведомственная структура'!AB463</f>
        <v>720000</v>
      </c>
    </row>
    <row r="59" spans="1:20" x14ac:dyDescent="0.2">
      <c r="A59" s="23" t="s">
        <v>111</v>
      </c>
      <c r="B59" s="10" t="s">
        <v>88</v>
      </c>
      <c r="C59" s="11" t="s">
        <v>71</v>
      </c>
      <c r="D59" s="40" t="e">
        <f>'Ведомственная структура'!L468+'Ведомственная структура'!L147+'Ведомственная структура'!#REF!</f>
        <v>#REF!</v>
      </c>
      <c r="E59" s="40" t="e">
        <f>'Ведомственная структура'!M468+'Ведомственная структура'!M147+'Ведомственная структура'!#REF!</f>
        <v>#REF!</v>
      </c>
      <c r="F59" s="40">
        <f>'Ведомственная структура'!N468+'Ведомственная структура'!N147</f>
        <v>7154624.5999999996</v>
      </c>
      <c r="G59" s="40">
        <f>'Ведомственная структура'!O468+'Ведомственная структура'!O147</f>
        <v>-8776.1</v>
      </c>
      <c r="H59" s="40">
        <f>'Ведомственная структура'!P468+'Ведомственная структура'!P147</f>
        <v>8916235.7899999991</v>
      </c>
      <c r="I59" s="40">
        <f>'Ведомственная структура'!Q468+'Ведомственная структура'!Q147</f>
        <v>9234320</v>
      </c>
      <c r="J59" s="40">
        <f>'Ведомственная структура'!R468+'Ведомственная структура'!R147</f>
        <v>-869170</v>
      </c>
      <c r="K59" s="40">
        <f>'Ведомственная структура'!S468+'Ведомственная структура'!S147</f>
        <v>1012612.71</v>
      </c>
      <c r="L59" s="40">
        <f>'Ведомственная структура'!T468+'Ведомственная структура'!T147</f>
        <v>9928848.5</v>
      </c>
      <c r="M59" s="40">
        <f>'Ведомственная структура'!U468+'Ведомственная структура'!U147</f>
        <v>8365150</v>
      </c>
      <c r="N59" s="40">
        <f>'Ведомственная структура'!V468+'Ведомственная структура'!V147</f>
        <v>9234020</v>
      </c>
      <c r="O59" s="40">
        <f>'Ведомственная структура'!W468+'Ведомственная структура'!W147</f>
        <v>-3409600</v>
      </c>
      <c r="P59" s="40">
        <f>'Ведомственная структура'!X468+'Ведомственная структура'!X147</f>
        <v>0</v>
      </c>
      <c r="Q59" s="40">
        <f>'Ведомственная структура'!Y468+'Ведомственная структура'!Y147</f>
        <v>8365150</v>
      </c>
      <c r="R59" s="40">
        <f>'Ведомственная структура'!Z468+'Ведомственная структура'!Z147</f>
        <v>5824420</v>
      </c>
      <c r="S59" s="40">
        <f>'Ведомственная структура'!AA468+'Ведомственная структура'!AA147</f>
        <v>0</v>
      </c>
      <c r="T59" s="40">
        <f>'Ведомственная структура'!AB468+'Ведомственная структура'!AB147</f>
        <v>5824420</v>
      </c>
    </row>
    <row r="60" spans="1:20" hidden="1" x14ac:dyDescent="0.2">
      <c r="A60" s="16" t="s">
        <v>170</v>
      </c>
      <c r="B60" s="10" t="s">
        <v>88</v>
      </c>
      <c r="C60" s="11" t="s">
        <v>70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</row>
    <row r="61" spans="1:20" x14ac:dyDescent="0.2">
      <c r="A61" s="19" t="s">
        <v>170</v>
      </c>
      <c r="B61" s="10" t="s">
        <v>88</v>
      </c>
      <c r="C61" s="11" t="s">
        <v>70</v>
      </c>
      <c r="D61" s="40">
        <f>'Ведомственная структура'!L473</f>
        <v>4880968.95</v>
      </c>
      <c r="E61" s="40">
        <f>'Ведомственная структура'!M473</f>
        <v>0</v>
      </c>
      <c r="F61" s="40">
        <f>'Ведомственная структура'!N473</f>
        <v>5741306.2199999997</v>
      </c>
      <c r="G61" s="40">
        <f>'Ведомственная структура'!O473</f>
        <v>0</v>
      </c>
      <c r="H61" s="40">
        <f>'Ведомственная структура'!P473</f>
        <v>5741306.2199999997</v>
      </c>
      <c r="I61" s="40">
        <f>'Ведомственная структура'!Q473</f>
        <v>5742188.8699999992</v>
      </c>
      <c r="J61" s="40">
        <f>'Ведомственная структура'!R473</f>
        <v>0</v>
      </c>
      <c r="K61" s="40">
        <f>'Ведомственная структура'!S473</f>
        <v>0</v>
      </c>
      <c r="L61" s="40">
        <f>'Ведомственная структура'!T473</f>
        <v>5741306.2199999997</v>
      </c>
      <c r="M61" s="40">
        <f>'Ведомственная структура'!U473</f>
        <v>5742188.8699999992</v>
      </c>
      <c r="N61" s="40">
        <f>'Ведомственная структура'!V473</f>
        <v>5942101.21</v>
      </c>
      <c r="O61" s="40">
        <f>'Ведомственная структура'!W473</f>
        <v>0</v>
      </c>
      <c r="P61" s="40">
        <f>'Ведомственная структура'!X473</f>
        <v>0</v>
      </c>
      <c r="Q61" s="40">
        <f>'Ведомственная структура'!Y473</f>
        <v>5742188.8699999992</v>
      </c>
      <c r="R61" s="40">
        <f>'Ведомственная структура'!Z473</f>
        <v>5942101.21</v>
      </c>
      <c r="S61" s="40">
        <f>'Ведомственная структура'!AA473</f>
        <v>0</v>
      </c>
      <c r="T61" s="40">
        <f>'Ведомственная структура'!AB473</f>
        <v>5942101.21</v>
      </c>
    </row>
    <row r="62" spans="1:20" x14ac:dyDescent="0.2">
      <c r="A62" s="24" t="s">
        <v>42</v>
      </c>
      <c r="B62" s="13" t="s">
        <v>95</v>
      </c>
      <c r="C62" s="20"/>
      <c r="D62" s="41" t="e">
        <f>D63+D65+#REF!</f>
        <v>#REF!</v>
      </c>
      <c r="E62" s="41" t="e">
        <f>E63+E65+#REF!</f>
        <v>#REF!</v>
      </c>
      <c r="F62" s="41">
        <f>F63+F65+F64</f>
        <v>0</v>
      </c>
      <c r="G62" s="41">
        <f t="shared" ref="G62:R62" si="9">G63+G65+G64</f>
        <v>184116316</v>
      </c>
      <c r="H62" s="41">
        <f t="shared" si="9"/>
        <v>190156356.43000001</v>
      </c>
      <c r="I62" s="41">
        <f t="shared" si="9"/>
        <v>1363560.0899999999</v>
      </c>
      <c r="J62" s="41">
        <f t="shared" si="9"/>
        <v>0</v>
      </c>
      <c r="K62" s="41">
        <f>K63+K65+K64</f>
        <v>42093200.399999999</v>
      </c>
      <c r="L62" s="41">
        <f>L63+L65+L64</f>
        <v>232249556.83000001</v>
      </c>
      <c r="M62" s="41">
        <f t="shared" si="9"/>
        <v>1363560.0899999999</v>
      </c>
      <c r="N62" s="41">
        <f t="shared" si="9"/>
        <v>3087265.09</v>
      </c>
      <c r="O62" s="41">
        <f t="shared" si="9"/>
        <v>533471</v>
      </c>
      <c r="P62" s="41">
        <f>P63+P65+P64</f>
        <v>0</v>
      </c>
      <c r="Q62" s="41">
        <f>Q63+Q65+Q64</f>
        <v>1363560.0899999999</v>
      </c>
      <c r="R62" s="41">
        <f t="shared" si="9"/>
        <v>1380060.0899999999</v>
      </c>
      <c r="S62" s="41">
        <f>S63+S65+S64</f>
        <v>0</v>
      </c>
      <c r="T62" s="41">
        <f>T63+T65+T64</f>
        <v>1380060.0899999999</v>
      </c>
    </row>
    <row r="63" spans="1:20" x14ac:dyDescent="0.2">
      <c r="A63" s="22" t="s">
        <v>44</v>
      </c>
      <c r="B63" s="10" t="s">
        <v>95</v>
      </c>
      <c r="C63" s="11" t="s">
        <v>69</v>
      </c>
      <c r="D63" s="40" t="e">
        <f>'Ведомственная структура'!L484</f>
        <v>#REF!</v>
      </c>
      <c r="E63" s="40" t="e">
        <f>'Ведомственная структура'!M484</f>
        <v>#REF!</v>
      </c>
      <c r="F63" s="40">
        <f>'Ведомственная структура'!N484+'Ведомственная структура'!N847</f>
        <v>0</v>
      </c>
      <c r="G63" s="40">
        <f>'Ведомственная структура'!O484+'Ведомственная структура'!O847</f>
        <v>0</v>
      </c>
      <c r="H63" s="40">
        <f>'Ведомственная структура'!P484+'Ведомственная структура'!P847</f>
        <v>325000</v>
      </c>
      <c r="I63" s="40">
        <f>'Ведомственная структура'!Q484+'Ведомственная структура'!Q847</f>
        <v>973060.09</v>
      </c>
      <c r="J63" s="40">
        <f>'Ведомственная структура'!R484+'Ведомственная структура'!R847</f>
        <v>0</v>
      </c>
      <c r="K63" s="40">
        <f>'Ведомственная структура'!S484+'Ведомственная структура'!S847</f>
        <v>2482123.6</v>
      </c>
      <c r="L63" s="40">
        <f>'Ведомственная структура'!T484+'Ведомственная структура'!T847</f>
        <v>2807123.6</v>
      </c>
      <c r="M63" s="40">
        <f>'Ведомственная структура'!U484+'Ведомственная структура'!U847</f>
        <v>973060.09</v>
      </c>
      <c r="N63" s="40">
        <f>'Ведомственная структура'!V484+'Ведомственная структура'!V847</f>
        <v>989560.09</v>
      </c>
      <c r="O63" s="40">
        <f>'Ведомственная структура'!W484+'Ведомственная структура'!W847</f>
        <v>0</v>
      </c>
      <c r="P63" s="40">
        <f>'Ведомственная структура'!X484+'Ведомственная структура'!X847</f>
        <v>0</v>
      </c>
      <c r="Q63" s="40">
        <f>'Ведомственная структура'!Y484+'Ведомственная структура'!Y847</f>
        <v>973060.09</v>
      </c>
      <c r="R63" s="40">
        <f>'Ведомственная структура'!Z484+'Ведомственная структура'!Z847</f>
        <v>989560.09</v>
      </c>
      <c r="S63" s="40">
        <f>'Ведомственная структура'!AA484+'Ведомственная структура'!AA847</f>
        <v>0</v>
      </c>
      <c r="T63" s="40">
        <f>'Ведомственная структура'!AB484+'Ведомственная структура'!AB847</f>
        <v>989560.09</v>
      </c>
    </row>
    <row r="64" spans="1:20" x14ac:dyDescent="0.2">
      <c r="A64" s="488" t="s">
        <v>387</v>
      </c>
      <c r="B64" s="376" t="s">
        <v>95</v>
      </c>
      <c r="C64" s="377" t="s">
        <v>76</v>
      </c>
      <c r="D64" s="378"/>
      <c r="E64" s="378"/>
      <c r="F64" s="378">
        <v>0</v>
      </c>
      <c r="G64" s="378">
        <f>'Ведомственная структура'!O499</f>
        <v>184116316</v>
      </c>
      <c r="H64" s="378">
        <f>'Ведомственная структура'!P499+'Ведомственная структура'!P156</f>
        <v>189606356.43000001</v>
      </c>
      <c r="I64" s="378">
        <f>'Ведомственная структура'!Q499+'Ведомственная структура'!Q156</f>
        <v>0</v>
      </c>
      <c r="J64" s="378">
        <f>'Ведомственная структура'!R499+'Ведомственная структура'!R156</f>
        <v>0</v>
      </c>
      <c r="K64" s="378">
        <f>'Ведомственная структура'!S499+'Ведомственная структура'!S156</f>
        <v>39611076.799999997</v>
      </c>
      <c r="L64" s="378">
        <f>'Ведомственная структура'!T499+'Ведомственная структура'!T156</f>
        <v>229217433.23000002</v>
      </c>
      <c r="M64" s="378">
        <f>'Ведомственная структура'!U499+'Ведомственная структура'!U156</f>
        <v>0</v>
      </c>
      <c r="N64" s="378">
        <f>'Ведомственная структура'!V499+'Ведомственная структура'!V156</f>
        <v>1707205</v>
      </c>
      <c r="O64" s="378">
        <f>'Ведомственная структура'!W499+'Ведомственная структура'!W156</f>
        <v>533471</v>
      </c>
      <c r="P64" s="378">
        <f>'Ведомственная структура'!X499+'Ведомственная структура'!X156</f>
        <v>0</v>
      </c>
      <c r="Q64" s="378">
        <f>'Ведомственная структура'!Y499+'Ведомственная структура'!Y156</f>
        <v>0</v>
      </c>
      <c r="R64" s="378">
        <f>'Ведомственная структура'!Z499+'Ведомственная структура'!Z156</f>
        <v>0</v>
      </c>
      <c r="S64" s="378">
        <f>'Ведомственная структура'!AA499+'Ведомственная структура'!AA156</f>
        <v>0</v>
      </c>
      <c r="T64" s="378">
        <f>'Ведомственная структура'!AB499+'Ведомственная структура'!AB156</f>
        <v>0</v>
      </c>
    </row>
    <row r="65" spans="1:20" x14ac:dyDescent="0.2">
      <c r="A65" s="21" t="s">
        <v>190</v>
      </c>
      <c r="B65" s="376" t="s">
        <v>95</v>
      </c>
      <c r="C65" s="377" t="s">
        <v>73</v>
      </c>
      <c r="D65" s="378">
        <f>'Ведомственная структура'!L509</f>
        <v>263500</v>
      </c>
      <c r="E65" s="378">
        <f>'Ведомственная структура'!M509</f>
        <v>0</v>
      </c>
      <c r="F65" s="378">
        <f>'Ведомственная структура'!N509+'Ведомственная структура'!N852</f>
        <v>0</v>
      </c>
      <c r="G65" s="378">
        <f>'Ведомственная структура'!O509+'Ведомственная структура'!O852</f>
        <v>0</v>
      </c>
      <c r="H65" s="378">
        <f>'Ведомственная структура'!P509+'Ведомственная структура'!P852</f>
        <v>225000</v>
      </c>
      <c r="I65" s="378">
        <f>'Ведомственная структура'!Q509+'Ведомственная структура'!Q852</f>
        <v>390500</v>
      </c>
      <c r="J65" s="378">
        <f>'Ведомственная структура'!R509+'Ведомственная структура'!R852</f>
        <v>0</v>
      </c>
      <c r="K65" s="378">
        <f>'Ведомственная структура'!S509+'Ведомственная структура'!S852</f>
        <v>0</v>
      </c>
      <c r="L65" s="378">
        <f>'Ведомственная структура'!T509+'Ведомственная структура'!T852</f>
        <v>225000</v>
      </c>
      <c r="M65" s="378">
        <f>'Ведомственная структура'!U509+'Ведомственная структура'!U852</f>
        <v>390500</v>
      </c>
      <c r="N65" s="378">
        <f>'Ведомственная структура'!V509+'Ведомственная структура'!V852</f>
        <v>390500</v>
      </c>
      <c r="O65" s="378">
        <f>'Ведомственная структура'!W509+'Ведомственная структура'!W852</f>
        <v>0</v>
      </c>
      <c r="P65" s="378">
        <f>'Ведомственная структура'!X509+'Ведомственная структура'!X852</f>
        <v>0</v>
      </c>
      <c r="Q65" s="378">
        <f>'Ведомственная структура'!Y509+'Ведомственная структура'!Y852</f>
        <v>390500</v>
      </c>
      <c r="R65" s="378">
        <f>'Ведомственная структура'!Z509+'Ведомственная структура'!Z852</f>
        <v>390500</v>
      </c>
      <c r="S65" s="378">
        <f>'Ведомственная структура'!AA509+'Ведомственная структура'!AA852</f>
        <v>0</v>
      </c>
      <c r="T65" s="378">
        <f>'Ведомственная структура'!AB509+'Ведомственная структура'!AB852</f>
        <v>390500</v>
      </c>
    </row>
    <row r="66" spans="1:20" ht="25.5" x14ac:dyDescent="0.2">
      <c r="A66" s="501" t="s">
        <v>460</v>
      </c>
      <c r="B66" s="523" t="s">
        <v>120</v>
      </c>
      <c r="C66" s="524"/>
      <c r="D66" s="525"/>
      <c r="E66" s="525"/>
      <c r="F66" s="525"/>
      <c r="G66" s="525"/>
      <c r="H66" s="525">
        <f>'Ведомственная структура'!P517</f>
        <v>0</v>
      </c>
      <c r="I66" s="525">
        <f>'Ведомственная структура'!Q517</f>
        <v>0</v>
      </c>
      <c r="J66" s="525">
        <f>'Ведомственная структура'!R517</f>
        <v>0</v>
      </c>
      <c r="K66" s="525">
        <f>'Ведомственная структура'!S517</f>
        <v>1966931.62</v>
      </c>
      <c r="L66" s="525">
        <f>'Ведомственная структура'!T517</f>
        <v>1966931.62</v>
      </c>
      <c r="M66" s="525">
        <f>'Ведомственная структура'!U517</f>
        <v>0</v>
      </c>
      <c r="N66" s="525">
        <f>'Ведомственная структура'!V517</f>
        <v>0</v>
      </c>
      <c r="O66" s="525">
        <f>'Ведомственная структура'!W517</f>
        <v>0</v>
      </c>
      <c r="P66" s="525">
        <f>'Ведомственная структура'!X517</f>
        <v>4864313.37</v>
      </c>
      <c r="Q66" s="525">
        <f>'Ведомственная структура'!Y517</f>
        <v>4864313.37</v>
      </c>
      <c r="R66" s="525">
        <f>'Ведомственная структура'!Z517</f>
        <v>0</v>
      </c>
      <c r="S66" s="525">
        <f>'Ведомственная структура'!AA517</f>
        <v>2974717.87</v>
      </c>
      <c r="T66" s="525">
        <f>'Ведомственная структура'!AB517</f>
        <v>2974717.87</v>
      </c>
    </row>
    <row r="67" spans="1:20" ht="39" thickBot="1" x14ac:dyDescent="0.25">
      <c r="A67" s="501" t="s">
        <v>461</v>
      </c>
      <c r="B67" s="523" t="s">
        <v>120</v>
      </c>
      <c r="C67" s="524" t="s">
        <v>69</v>
      </c>
      <c r="D67" s="525"/>
      <c r="E67" s="525"/>
      <c r="F67" s="525"/>
      <c r="G67" s="525"/>
      <c r="H67" s="525">
        <f>'Ведомственная структура'!P518</f>
        <v>0</v>
      </c>
      <c r="I67" s="525">
        <f>'Ведомственная структура'!Q518</f>
        <v>0</v>
      </c>
      <c r="J67" s="525">
        <f>'Ведомственная структура'!R518</f>
        <v>0</v>
      </c>
      <c r="K67" s="525">
        <f>'Ведомственная структура'!S518</f>
        <v>1966931.62</v>
      </c>
      <c r="L67" s="525">
        <f>'Ведомственная структура'!T518</f>
        <v>1966931.62</v>
      </c>
      <c r="M67" s="525">
        <f>'Ведомственная структура'!U518</f>
        <v>0</v>
      </c>
      <c r="N67" s="525">
        <f>'Ведомственная структура'!V518</f>
        <v>0</v>
      </c>
      <c r="O67" s="525">
        <f>'Ведомственная структура'!W518</f>
        <v>0</v>
      </c>
      <c r="P67" s="525">
        <f>'Ведомственная структура'!X518</f>
        <v>4864313.37</v>
      </c>
      <c r="Q67" s="525">
        <f>'Ведомственная структура'!Y518</f>
        <v>4864313.37</v>
      </c>
      <c r="R67" s="525">
        <f>'Ведомственная структура'!Z518</f>
        <v>0</v>
      </c>
      <c r="S67" s="525">
        <f>'Ведомственная структура'!AA518</f>
        <v>2974717.87</v>
      </c>
      <c r="T67" s="525">
        <f>'Ведомственная структура'!AB518</f>
        <v>2974717.87</v>
      </c>
    </row>
    <row r="68" spans="1:20" ht="28.5" customHeight="1" thickBot="1" x14ac:dyDescent="0.25">
      <c r="A68" s="379" t="s">
        <v>246</v>
      </c>
      <c r="B68" s="380"/>
      <c r="C68" s="381"/>
      <c r="D68" s="382"/>
      <c r="E68" s="382"/>
      <c r="F68" s="382"/>
      <c r="G68" s="382"/>
      <c r="H68" s="382"/>
      <c r="I68" s="462">
        <v>32000000</v>
      </c>
      <c r="J68" s="462">
        <v>0</v>
      </c>
      <c r="K68" s="382"/>
      <c r="L68" s="382"/>
      <c r="M68" s="462">
        <v>32000000</v>
      </c>
      <c r="N68" s="462">
        <v>17000000</v>
      </c>
      <c r="O68" s="462">
        <v>0</v>
      </c>
      <c r="P68" s="462">
        <v>0</v>
      </c>
      <c r="Q68" s="462">
        <v>32000000</v>
      </c>
      <c r="R68" s="462">
        <v>17000000</v>
      </c>
      <c r="S68" s="462">
        <v>41000000</v>
      </c>
      <c r="T68" s="462">
        <f>S68+R68</f>
        <v>58000000</v>
      </c>
    </row>
    <row r="69" spans="1:20" ht="19.5" customHeight="1" thickBot="1" x14ac:dyDescent="0.25">
      <c r="A69" s="375" t="s">
        <v>43</v>
      </c>
      <c r="B69" s="5"/>
      <c r="C69" s="6"/>
      <c r="D69" s="39" t="e">
        <f>D18+D28+D31+D38+D46+D53+D56+#REF!+D62+#REF!+D44</f>
        <v>#REF!</v>
      </c>
      <c r="E69" s="39"/>
      <c r="F69" s="39" t="e">
        <f>F18+F28+F31+F38+F46+F53+F56+F62+F44+F26</f>
        <v>#REF!</v>
      </c>
      <c r="G69" s="39" t="e">
        <f>G18+G28+G31+G38+G46+G53+G56+G62+G44+G26</f>
        <v>#REF!</v>
      </c>
      <c r="H69" s="39">
        <f>H18+H28+H31+H38+H46+H53+H56+H62+H44+H26+H66</f>
        <v>2174743318.5500002</v>
      </c>
      <c r="I69" s="39">
        <f t="shared" ref="I69:P69" si="10">I18+I28+I31+I38+I46+I53+I56+I62+I44+I26+I66</f>
        <v>3296136576.4299998</v>
      </c>
      <c r="J69" s="39">
        <f t="shared" si="10"/>
        <v>108620677.53</v>
      </c>
      <c r="K69" s="39">
        <f t="shared" si="10"/>
        <v>64219965.359999999</v>
      </c>
      <c r="L69" s="39">
        <f t="shared" si="10"/>
        <v>2238963283.9099998</v>
      </c>
      <c r="M69" s="39">
        <f>M18+M28+M31+M38+M46+M53+M56+M62+M44+M26+M66+M68</f>
        <v>2199719661.5599999</v>
      </c>
      <c r="N69" s="39">
        <f t="shared" si="10"/>
        <v>3270560498.52</v>
      </c>
      <c r="O69" s="39">
        <f t="shared" si="10"/>
        <v>1758947.8600000006</v>
      </c>
      <c r="P69" s="39">
        <f t="shared" si="10"/>
        <v>14530458.219999999</v>
      </c>
      <c r="Q69" s="39">
        <f>Q18+Q28+Q31+Q38+Q46+Q53+Q56+Q62+Q44+Q26+Q66+Q68</f>
        <v>2219530119.7800002</v>
      </c>
      <c r="R69" s="39">
        <f>R18+R28+R31+R38+R46+R53+R56+R62+R44+R26+R66+R68</f>
        <v>2125372518.4799998</v>
      </c>
      <c r="S69" s="39">
        <f>S18+S28+S31+S38+S46+S53+S56+S62+S44+S26+S66+S68</f>
        <v>55027353.109999999</v>
      </c>
      <c r="T69" s="39">
        <f>T18+T28+T31+T38+T46+T53+T56+T62+T44+T26+T66+T68</f>
        <v>2180399871.5899997</v>
      </c>
    </row>
    <row r="74" spans="1:20" x14ac:dyDescent="0.2">
      <c r="K74" s="75">
        <f>'Ведомственная структура'!S575+'Ведомственная структура'!S382+'Ведомственная структура'!S673</f>
        <v>542950</v>
      </c>
      <c r="L74" s="75"/>
    </row>
  </sheetData>
  <mergeCells count="13">
    <mergeCell ref="B2:D2"/>
    <mergeCell ref="H2:T2"/>
    <mergeCell ref="B3:T3"/>
    <mergeCell ref="C4:T4"/>
    <mergeCell ref="A15:A16"/>
    <mergeCell ref="B7:D7"/>
    <mergeCell ref="B15:B16"/>
    <mergeCell ref="C15:C16"/>
    <mergeCell ref="A13:T13"/>
    <mergeCell ref="D15:T15"/>
    <mergeCell ref="H7:T7"/>
    <mergeCell ref="B8:T8"/>
    <mergeCell ref="C9:T9"/>
  </mergeCells>
  <phoneticPr fontId="11" type="noConversion"/>
  <pageMargins left="0.78740157480314965" right="0.59055118110236227" top="0.19685039370078741" bottom="0.19685039370078741" header="0.51181102362204722" footer="0.51181102362204722"/>
  <pageSetup paperSize="9" scale="58" orientation="portrait" r:id="rId1"/>
  <headerFooter alignWithMargins="0">
    <oddFooter>&amp;C&amp;P</oddFooter>
  </headerFooter>
  <colBreaks count="2" manualBreakCount="2">
    <brk id="21" max="68" man="1"/>
    <brk id="22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D937"/>
  <sheetViews>
    <sheetView tabSelected="1" view="pageBreakPreview" topLeftCell="A653" zoomScale="106" zoomScaleNormal="100" zoomScaleSheetLayoutView="106" workbookViewId="0">
      <selection activeCell="A679" sqref="A679:A680"/>
    </sheetView>
  </sheetViews>
  <sheetFormatPr defaultRowHeight="12.75" x14ac:dyDescent="0.2"/>
  <cols>
    <col min="1" max="1" width="64.28515625" style="50" customWidth="1"/>
    <col min="2" max="2" width="7.5703125" style="163" customWidth="1"/>
    <col min="3" max="3" width="6.42578125" style="164" customWidth="1"/>
    <col min="4" max="4" width="7.140625" style="164" customWidth="1"/>
    <col min="5" max="5" width="3.28515625" style="164" customWidth="1"/>
    <col min="6" max="6" width="2.42578125" style="164" customWidth="1"/>
    <col min="7" max="7" width="4.28515625" style="164" customWidth="1"/>
    <col min="8" max="8" width="2.42578125" style="164" customWidth="1"/>
    <col min="9" max="9" width="7.42578125" style="164" customWidth="1"/>
    <col min="10" max="10" width="3.140625" style="164" customWidth="1"/>
    <col min="11" max="11" width="8.28515625" style="165" customWidth="1"/>
    <col min="12" max="12" width="0.28515625" style="50" hidden="1" customWidth="1"/>
    <col min="13" max="13" width="24.140625" style="50" hidden="1" customWidth="1"/>
    <col min="14" max="14" width="25.7109375" style="50" hidden="1" customWidth="1"/>
    <col min="15" max="15" width="24.140625" style="50" hidden="1" customWidth="1"/>
    <col min="16" max="16" width="27.5703125" style="50" hidden="1" customWidth="1"/>
    <col min="17" max="17" width="25.140625" style="50" hidden="1" customWidth="1"/>
    <col min="18" max="18" width="20" style="50" hidden="1" customWidth="1"/>
    <col min="19" max="19" width="21.7109375" style="50" hidden="1" customWidth="1"/>
    <col min="20" max="20" width="24" style="50" customWidth="1"/>
    <col min="21" max="21" width="23.7109375" style="50" hidden="1" customWidth="1"/>
    <col min="22" max="22" width="24.42578125" style="50" hidden="1" customWidth="1"/>
    <col min="23" max="23" width="26.5703125" style="50" hidden="1" customWidth="1"/>
    <col min="24" max="24" width="19.42578125" style="50" hidden="1" customWidth="1"/>
    <col min="25" max="25" width="26.5703125" style="50" customWidth="1"/>
    <col min="26" max="26" width="26.42578125" style="50" hidden="1" customWidth="1"/>
    <col min="27" max="27" width="25" style="50" hidden="1" customWidth="1"/>
    <col min="28" max="28" width="25.42578125" style="50" customWidth="1"/>
    <col min="29" max="29" width="13.85546875" style="50" bestFit="1" customWidth="1"/>
    <col min="30" max="16384" width="9.140625" style="50"/>
  </cols>
  <sheetData>
    <row r="1" spans="1:28" ht="15.75" x14ac:dyDescent="0.25">
      <c r="A1" s="36"/>
      <c r="B1" s="48"/>
      <c r="C1" s="490"/>
      <c r="D1" s="490"/>
      <c r="E1" s="490"/>
      <c r="F1" s="490"/>
      <c r="G1" s="490"/>
      <c r="H1" s="490"/>
      <c r="I1" s="490"/>
      <c r="J1" s="543" t="s">
        <v>383</v>
      </c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Y1" s="36"/>
      <c r="Z1" s="36"/>
      <c r="AA1" s="36"/>
      <c r="AB1" s="36"/>
    </row>
    <row r="2" spans="1:28" ht="24.75" customHeight="1" x14ac:dyDescent="0.25">
      <c r="A2" s="36"/>
      <c r="B2" s="48"/>
      <c r="C2" s="490"/>
      <c r="D2" s="490"/>
      <c r="E2" s="490"/>
      <c r="F2" s="490"/>
      <c r="G2" s="490"/>
      <c r="H2" s="490"/>
      <c r="I2" s="490"/>
      <c r="J2" s="543" t="s">
        <v>200</v>
      </c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Y2" s="36"/>
      <c r="Z2" s="36"/>
      <c r="AA2" s="36"/>
      <c r="AB2" s="36"/>
    </row>
    <row r="3" spans="1:28" ht="19.5" customHeight="1" x14ac:dyDescent="0.25">
      <c r="A3" s="36"/>
      <c r="B3" s="48"/>
      <c r="C3" s="490"/>
      <c r="D3" s="490"/>
      <c r="E3" s="490"/>
      <c r="F3" s="490"/>
      <c r="G3" s="490"/>
      <c r="H3" s="490"/>
      <c r="I3" s="490"/>
      <c r="J3" s="51" t="s">
        <v>210</v>
      </c>
      <c r="K3" s="544" t="s">
        <v>466</v>
      </c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Y3" s="36"/>
      <c r="Z3" s="36"/>
      <c r="AA3" s="36"/>
      <c r="AB3" s="36"/>
    </row>
    <row r="4" spans="1:28" x14ac:dyDescent="0.2">
      <c r="A4" s="36"/>
      <c r="B4" s="48"/>
      <c r="C4" s="490"/>
      <c r="D4" s="490"/>
      <c r="E4" s="490"/>
      <c r="F4" s="490"/>
      <c r="G4" s="490"/>
      <c r="H4" s="490"/>
      <c r="I4" s="490"/>
      <c r="J4" s="52"/>
      <c r="K4" s="52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Y4" s="36"/>
      <c r="Z4" s="36"/>
      <c r="AA4" s="36"/>
      <c r="AB4" s="36"/>
    </row>
    <row r="5" spans="1:28" x14ac:dyDescent="0.2">
      <c r="A5" s="36"/>
      <c r="B5" s="48"/>
      <c r="C5" s="490"/>
      <c r="D5" s="490"/>
      <c r="E5" s="490"/>
      <c r="F5" s="490"/>
      <c r="G5" s="490"/>
      <c r="H5" s="490"/>
      <c r="I5" s="490"/>
      <c r="J5" s="490"/>
      <c r="K5" s="37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Y5" s="36"/>
      <c r="Z5" s="36"/>
      <c r="AA5" s="36"/>
      <c r="AB5" s="36"/>
    </row>
    <row r="6" spans="1:28" ht="18" customHeight="1" x14ac:dyDescent="0.25">
      <c r="A6" s="47"/>
      <c r="B6" s="48"/>
      <c r="C6" s="48"/>
      <c r="D6" s="49"/>
      <c r="E6" s="49"/>
      <c r="F6" s="49"/>
      <c r="G6" s="49"/>
      <c r="H6" s="49"/>
      <c r="I6" s="49"/>
      <c r="J6" s="543" t="s">
        <v>383</v>
      </c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36"/>
      <c r="X6" s="36"/>
      <c r="Y6" s="36"/>
      <c r="Z6" s="36"/>
      <c r="AA6" s="36"/>
      <c r="AB6" s="36"/>
    </row>
    <row r="7" spans="1:28" ht="18.75" customHeight="1" x14ac:dyDescent="0.25">
      <c r="A7" s="47"/>
      <c r="B7" s="48"/>
      <c r="C7" s="48"/>
      <c r="D7" s="49"/>
      <c r="E7" s="49"/>
      <c r="F7" s="49"/>
      <c r="G7" s="49"/>
      <c r="H7" s="49"/>
      <c r="I7" s="49"/>
      <c r="J7" s="543" t="s">
        <v>200</v>
      </c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36"/>
      <c r="X7" s="36"/>
      <c r="Y7" s="36"/>
      <c r="Z7" s="36"/>
      <c r="AA7" s="36"/>
      <c r="AB7" s="36"/>
    </row>
    <row r="8" spans="1:28" ht="21" customHeight="1" x14ac:dyDescent="0.25">
      <c r="A8" s="47"/>
      <c r="B8" s="48"/>
      <c r="C8" s="48"/>
      <c r="D8" s="49"/>
      <c r="E8" s="49"/>
      <c r="F8" s="49"/>
      <c r="G8" s="49"/>
      <c r="H8" s="49"/>
      <c r="I8" s="49"/>
      <c r="J8" s="51" t="s">
        <v>210</v>
      </c>
      <c r="K8" s="544" t="s">
        <v>392</v>
      </c>
      <c r="L8" s="544"/>
      <c r="M8" s="544"/>
      <c r="N8" s="544"/>
      <c r="O8" s="544"/>
      <c r="P8" s="544"/>
      <c r="Q8" s="544"/>
      <c r="R8" s="544"/>
      <c r="S8" s="544"/>
      <c r="T8" s="544"/>
      <c r="U8" s="544"/>
      <c r="V8" s="544"/>
      <c r="W8" s="36"/>
      <c r="X8" s="36"/>
      <c r="Y8" s="36"/>
      <c r="Z8" s="36"/>
      <c r="AA8" s="36"/>
      <c r="AB8" s="36"/>
    </row>
    <row r="9" spans="1:28" ht="15.75" customHeight="1" x14ac:dyDescent="0.2">
      <c r="A9" s="47"/>
      <c r="B9" s="48"/>
      <c r="C9" s="48"/>
      <c r="D9" s="49"/>
      <c r="E9" s="49"/>
      <c r="F9" s="49"/>
      <c r="G9" s="49"/>
      <c r="H9" s="49"/>
      <c r="I9" s="49"/>
      <c r="J9" s="52"/>
      <c r="K9" s="52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</row>
    <row r="10" spans="1:28" s="53" customFormat="1" ht="37.5" customHeight="1" x14ac:dyDescent="0.3">
      <c r="A10" s="586" t="s">
        <v>272</v>
      </c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</row>
    <row r="11" spans="1:28" s="53" customFormat="1" x14ac:dyDescent="0.2">
      <c r="A11" s="592"/>
      <c r="B11" s="592"/>
      <c r="C11" s="592"/>
      <c r="D11" s="592"/>
      <c r="E11" s="592"/>
      <c r="F11" s="592"/>
      <c r="G11" s="592"/>
      <c r="H11" s="592"/>
      <c r="I11" s="592"/>
      <c r="J11" s="592"/>
      <c r="K11" s="592"/>
    </row>
    <row r="12" spans="1:28" s="54" customFormat="1" ht="15" customHeight="1" x14ac:dyDescent="0.25">
      <c r="A12" s="590" t="s">
        <v>81</v>
      </c>
      <c r="B12" s="590" t="s">
        <v>116</v>
      </c>
      <c r="C12" s="590" t="s">
        <v>112</v>
      </c>
      <c r="D12" s="569" t="s">
        <v>113</v>
      </c>
      <c r="E12" s="572" t="s">
        <v>93</v>
      </c>
      <c r="F12" s="572"/>
      <c r="G12" s="572"/>
      <c r="H12" s="572"/>
      <c r="I12" s="572"/>
      <c r="J12" s="572"/>
      <c r="K12" s="569" t="s">
        <v>117</v>
      </c>
      <c r="L12" s="584" t="s">
        <v>233</v>
      </c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5"/>
    </row>
    <row r="13" spans="1:28" s="54" customFormat="1" ht="15" x14ac:dyDescent="0.25">
      <c r="A13" s="591"/>
      <c r="B13" s="591"/>
      <c r="C13" s="591"/>
      <c r="D13" s="570"/>
      <c r="E13" s="573"/>
      <c r="F13" s="573"/>
      <c r="G13" s="573"/>
      <c r="H13" s="573"/>
      <c r="I13" s="573"/>
      <c r="J13" s="573"/>
      <c r="K13" s="570"/>
      <c r="L13" s="580" t="s">
        <v>234</v>
      </c>
      <c r="M13" s="593" t="s">
        <v>250</v>
      </c>
      <c r="N13" s="562" t="s">
        <v>270</v>
      </c>
      <c r="O13" s="562" t="s">
        <v>250</v>
      </c>
      <c r="P13" s="562" t="s">
        <v>270</v>
      </c>
      <c r="Q13" s="557" t="s">
        <v>262</v>
      </c>
      <c r="R13" s="557" t="s">
        <v>250</v>
      </c>
      <c r="S13" s="562" t="s">
        <v>270</v>
      </c>
      <c r="T13" s="583" t="s">
        <v>270</v>
      </c>
      <c r="U13" s="563" t="s">
        <v>262</v>
      </c>
      <c r="V13" s="557" t="s">
        <v>269</v>
      </c>
      <c r="W13" s="587" t="s">
        <v>269</v>
      </c>
      <c r="X13" s="587" t="s">
        <v>262</v>
      </c>
      <c r="Y13" s="558" t="s">
        <v>262</v>
      </c>
      <c r="Z13" s="563" t="s">
        <v>269</v>
      </c>
      <c r="AA13" s="557" t="s">
        <v>269</v>
      </c>
      <c r="AB13" s="557" t="s">
        <v>269</v>
      </c>
    </row>
    <row r="14" spans="1:28" s="54" customFormat="1" ht="15" customHeight="1" x14ac:dyDescent="0.25">
      <c r="A14" s="591"/>
      <c r="B14" s="591"/>
      <c r="C14" s="591"/>
      <c r="D14" s="570"/>
      <c r="E14" s="573"/>
      <c r="F14" s="573"/>
      <c r="G14" s="573"/>
      <c r="H14" s="573"/>
      <c r="I14" s="573"/>
      <c r="J14" s="573"/>
      <c r="K14" s="570"/>
      <c r="L14" s="581"/>
      <c r="M14" s="593"/>
      <c r="N14" s="562"/>
      <c r="O14" s="562"/>
      <c r="P14" s="562"/>
      <c r="Q14" s="558"/>
      <c r="R14" s="558"/>
      <c r="S14" s="562"/>
      <c r="T14" s="562"/>
      <c r="U14" s="564"/>
      <c r="V14" s="558"/>
      <c r="W14" s="588"/>
      <c r="X14" s="588"/>
      <c r="Y14" s="558"/>
      <c r="Z14" s="564"/>
      <c r="AA14" s="558"/>
      <c r="AB14" s="558"/>
    </row>
    <row r="15" spans="1:28" s="54" customFormat="1" ht="15" x14ac:dyDescent="0.25">
      <c r="A15" s="591"/>
      <c r="B15" s="591"/>
      <c r="C15" s="591"/>
      <c r="D15" s="570"/>
      <c r="E15" s="573"/>
      <c r="F15" s="573"/>
      <c r="G15" s="573"/>
      <c r="H15" s="573"/>
      <c r="I15" s="573"/>
      <c r="J15" s="573"/>
      <c r="K15" s="570"/>
      <c r="L15" s="581"/>
      <c r="M15" s="593"/>
      <c r="N15" s="562"/>
      <c r="O15" s="562"/>
      <c r="P15" s="562"/>
      <c r="Q15" s="558"/>
      <c r="R15" s="558"/>
      <c r="S15" s="562"/>
      <c r="T15" s="562"/>
      <c r="U15" s="564"/>
      <c r="V15" s="558"/>
      <c r="W15" s="588"/>
      <c r="X15" s="588"/>
      <c r="Y15" s="558"/>
      <c r="Z15" s="564"/>
      <c r="AA15" s="558"/>
      <c r="AB15" s="558"/>
    </row>
    <row r="16" spans="1:28" s="54" customFormat="1" ht="15" x14ac:dyDescent="0.25">
      <c r="A16" s="591"/>
      <c r="B16" s="591"/>
      <c r="C16" s="591"/>
      <c r="D16" s="570"/>
      <c r="E16" s="573"/>
      <c r="F16" s="573"/>
      <c r="G16" s="573"/>
      <c r="H16" s="573"/>
      <c r="I16" s="573"/>
      <c r="J16" s="573"/>
      <c r="K16" s="571"/>
      <c r="L16" s="582"/>
      <c r="M16" s="593"/>
      <c r="N16" s="562"/>
      <c r="O16" s="562"/>
      <c r="P16" s="562"/>
      <c r="Q16" s="559"/>
      <c r="R16" s="559"/>
      <c r="S16" s="562"/>
      <c r="T16" s="562"/>
      <c r="U16" s="565"/>
      <c r="V16" s="559"/>
      <c r="W16" s="589"/>
      <c r="X16" s="589"/>
      <c r="Y16" s="559"/>
      <c r="Z16" s="565"/>
      <c r="AA16" s="559"/>
      <c r="AB16" s="559"/>
    </row>
    <row r="17" spans="1:28" s="55" customFormat="1" x14ac:dyDescent="0.2">
      <c r="A17" s="405">
        <v>1</v>
      </c>
      <c r="B17" s="420">
        <v>2</v>
      </c>
      <c r="C17" s="420">
        <v>3</v>
      </c>
      <c r="D17" s="421">
        <v>4</v>
      </c>
      <c r="E17" s="579">
        <v>5</v>
      </c>
      <c r="F17" s="579"/>
      <c r="G17" s="579"/>
      <c r="H17" s="579"/>
      <c r="I17" s="579"/>
      <c r="J17" s="579"/>
      <c r="K17" s="422">
        <v>6</v>
      </c>
      <c r="L17" s="406">
        <v>7</v>
      </c>
      <c r="M17" s="407"/>
      <c r="N17" s="424">
        <v>7</v>
      </c>
      <c r="O17" s="424">
        <v>7</v>
      </c>
      <c r="P17" s="424">
        <v>7</v>
      </c>
      <c r="Q17" s="429">
        <v>8</v>
      </c>
      <c r="R17" s="429">
        <v>8</v>
      </c>
      <c r="S17" s="424">
        <v>7</v>
      </c>
      <c r="T17" s="424">
        <v>7</v>
      </c>
      <c r="U17" s="494">
        <v>8</v>
      </c>
      <c r="V17" s="429">
        <v>9</v>
      </c>
      <c r="W17" s="405">
        <v>9</v>
      </c>
      <c r="X17" s="405">
        <v>8</v>
      </c>
      <c r="Y17" s="429">
        <v>8</v>
      </c>
      <c r="Z17" s="494">
        <v>9</v>
      </c>
      <c r="AA17" s="429">
        <v>9</v>
      </c>
      <c r="AB17" s="429">
        <v>9</v>
      </c>
    </row>
    <row r="18" spans="1:28" s="57" customFormat="1" ht="25.5" x14ac:dyDescent="0.2">
      <c r="A18" s="402" t="s">
        <v>321</v>
      </c>
      <c r="B18" s="131" t="s">
        <v>108</v>
      </c>
      <c r="C18" s="289"/>
      <c r="D18" s="289"/>
      <c r="E18" s="289"/>
      <c r="F18" s="61"/>
      <c r="G18" s="61"/>
      <c r="H18" s="61"/>
      <c r="I18" s="61"/>
      <c r="J18" s="62"/>
      <c r="K18" s="290"/>
      <c r="L18" s="63" t="e">
        <f>L19+L146+#REF!</f>
        <v>#REF!</v>
      </c>
      <c r="M18" s="56" t="e">
        <f>M19+M146+#REF!</f>
        <v>#REF!</v>
      </c>
      <c r="N18" s="425" t="e">
        <f>N19+N146</f>
        <v>#REF!</v>
      </c>
      <c r="O18" s="425" t="e">
        <f>O19+O146</f>
        <v>#REF!</v>
      </c>
      <c r="P18" s="425">
        <f t="shared" ref="P18:AB18" si="0">P19+P146+P155</f>
        <v>1257059213.3800001</v>
      </c>
      <c r="Q18" s="425">
        <f t="shared" si="0"/>
        <v>2237111534.29</v>
      </c>
      <c r="R18" s="425">
        <f t="shared" si="0"/>
        <v>2295993.2200000007</v>
      </c>
      <c r="S18" s="425">
        <f t="shared" si="0"/>
        <v>40145127.059999995</v>
      </c>
      <c r="T18" s="425">
        <f t="shared" si="0"/>
        <v>1297204340.4400001</v>
      </c>
      <c r="U18" s="479">
        <f t="shared" si="0"/>
        <v>1317791620.29</v>
      </c>
      <c r="V18" s="425">
        <f t="shared" si="0"/>
        <v>2282233779.3500004</v>
      </c>
      <c r="W18" s="425">
        <f t="shared" si="0"/>
        <v>-4653238.4499999993</v>
      </c>
      <c r="X18" s="471">
        <f t="shared" si="0"/>
        <v>3203464.81</v>
      </c>
      <c r="Y18" s="425">
        <f t="shared" si="0"/>
        <v>1320995085.0999999</v>
      </c>
      <c r="Z18" s="479">
        <f t="shared" si="0"/>
        <v>1398330827.6000001</v>
      </c>
      <c r="AA18" s="425">
        <f t="shared" si="0"/>
        <v>4589955.2</v>
      </c>
      <c r="AB18" s="425">
        <f t="shared" si="0"/>
        <v>1402920782.8000002</v>
      </c>
    </row>
    <row r="19" spans="1:28" s="2" customFormat="1" x14ac:dyDescent="0.2">
      <c r="A19" s="207" t="s">
        <v>78</v>
      </c>
      <c r="B19" s="58" t="s">
        <v>108</v>
      </c>
      <c r="C19" s="58" t="s">
        <v>74</v>
      </c>
      <c r="D19" s="58"/>
      <c r="E19" s="58"/>
      <c r="F19" s="60"/>
      <c r="G19" s="60"/>
      <c r="H19" s="60"/>
      <c r="I19" s="61"/>
      <c r="J19" s="62"/>
      <c r="K19" s="290"/>
      <c r="L19" s="63" t="e">
        <f>L43+L115+L125+L20+#REF!+#REF!</f>
        <v>#REF!</v>
      </c>
      <c r="M19" s="56" t="e">
        <f>M43+M115+M125+M20+#REF!+#REF!</f>
        <v>#REF!</v>
      </c>
      <c r="N19" s="425" t="e">
        <f t="shared" ref="N19:AB19" si="1">N43+N115+N125+N20+N88</f>
        <v>#REF!</v>
      </c>
      <c r="O19" s="425" t="e">
        <f t="shared" si="1"/>
        <v>#REF!</v>
      </c>
      <c r="P19" s="425">
        <f t="shared" si="1"/>
        <v>1247555144.45</v>
      </c>
      <c r="Q19" s="471">
        <f t="shared" si="1"/>
        <v>2229577214.29</v>
      </c>
      <c r="R19" s="425">
        <f t="shared" si="1"/>
        <v>3165163.2200000007</v>
      </c>
      <c r="S19" s="425">
        <f t="shared" si="1"/>
        <v>2092327.26</v>
      </c>
      <c r="T19" s="425">
        <f t="shared" si="1"/>
        <v>1249647471.71</v>
      </c>
      <c r="U19" s="479">
        <f t="shared" si="1"/>
        <v>1311126470.29</v>
      </c>
      <c r="V19" s="425">
        <f t="shared" si="1"/>
        <v>2272992554.3500004</v>
      </c>
      <c r="W19" s="471">
        <f t="shared" si="1"/>
        <v>-1777109.4499999993</v>
      </c>
      <c r="X19" s="471">
        <f t="shared" si="1"/>
        <v>3203464.81</v>
      </c>
      <c r="Y19" s="425">
        <f t="shared" si="1"/>
        <v>1314329935.0999999</v>
      </c>
      <c r="Z19" s="479">
        <f t="shared" si="1"/>
        <v>1394206407.6000001</v>
      </c>
      <c r="AA19" s="425">
        <f t="shared" si="1"/>
        <v>4589955.2</v>
      </c>
      <c r="AB19" s="425">
        <f t="shared" si="1"/>
        <v>1398796362.8000002</v>
      </c>
    </row>
    <row r="20" spans="1:28" s="2" customFormat="1" x14ac:dyDescent="0.2">
      <c r="A20" s="207" t="s">
        <v>152</v>
      </c>
      <c r="B20" s="58" t="s">
        <v>108</v>
      </c>
      <c r="C20" s="58" t="s">
        <v>74</v>
      </c>
      <c r="D20" s="58" t="s">
        <v>69</v>
      </c>
      <c r="E20" s="58"/>
      <c r="F20" s="60"/>
      <c r="G20" s="60"/>
      <c r="H20" s="60"/>
      <c r="I20" s="61"/>
      <c r="J20" s="62"/>
      <c r="K20" s="290"/>
      <c r="L20" s="64" t="e">
        <f t="shared" ref="L20:AB20" si="2">L21</f>
        <v>#REF!</v>
      </c>
      <c r="M20" s="65" t="e">
        <f t="shared" si="2"/>
        <v>#REF!</v>
      </c>
      <c r="N20" s="224">
        <f t="shared" si="2"/>
        <v>303020000</v>
      </c>
      <c r="O20" s="224">
        <f t="shared" si="2"/>
        <v>0</v>
      </c>
      <c r="P20" s="224">
        <f t="shared" si="2"/>
        <v>304254100</v>
      </c>
      <c r="Q20" s="223">
        <f t="shared" si="2"/>
        <v>498767100</v>
      </c>
      <c r="R20" s="224">
        <f t="shared" si="2"/>
        <v>-2000000</v>
      </c>
      <c r="S20" s="224">
        <f t="shared" si="2"/>
        <v>-2605023</v>
      </c>
      <c r="T20" s="224">
        <f t="shared" si="2"/>
        <v>301649077</v>
      </c>
      <c r="U20" s="225">
        <f t="shared" si="2"/>
        <v>312767100</v>
      </c>
      <c r="V20" s="224">
        <f t="shared" si="2"/>
        <v>510767100</v>
      </c>
      <c r="W20" s="223">
        <f t="shared" si="2"/>
        <v>-2000000</v>
      </c>
      <c r="X20" s="223">
        <f t="shared" si="2"/>
        <v>0</v>
      </c>
      <c r="Y20" s="224">
        <f t="shared" si="2"/>
        <v>312767100</v>
      </c>
      <c r="Z20" s="225">
        <f t="shared" si="2"/>
        <v>318767100</v>
      </c>
      <c r="AA20" s="224">
        <f t="shared" si="2"/>
        <v>0</v>
      </c>
      <c r="AB20" s="224">
        <f t="shared" si="2"/>
        <v>318767100</v>
      </c>
    </row>
    <row r="21" spans="1:28" s="2" customFormat="1" ht="25.5" x14ac:dyDescent="0.2">
      <c r="A21" s="212" t="s">
        <v>312</v>
      </c>
      <c r="B21" s="58" t="s">
        <v>108</v>
      </c>
      <c r="C21" s="58" t="s">
        <v>74</v>
      </c>
      <c r="D21" s="58" t="s">
        <v>69</v>
      </c>
      <c r="E21" s="103" t="s">
        <v>1</v>
      </c>
      <c r="F21" s="66" t="s">
        <v>135</v>
      </c>
      <c r="G21" s="66" t="s">
        <v>135</v>
      </c>
      <c r="H21" s="66" t="s">
        <v>135</v>
      </c>
      <c r="I21" s="66" t="s">
        <v>136</v>
      </c>
      <c r="J21" s="67" t="s">
        <v>135</v>
      </c>
      <c r="K21" s="309"/>
      <c r="L21" s="68" t="e">
        <f>#REF!+L30+#REF!+L31+L22+#REF!</f>
        <v>#REF!</v>
      </c>
      <c r="M21" s="69" t="e">
        <f>#REF!+M30+#REF!+M31+M22+#REF!</f>
        <v>#REF!</v>
      </c>
      <c r="N21" s="216">
        <f>N30+N31+N22+N25+N34+N37</f>
        <v>303020000</v>
      </c>
      <c r="O21" s="216">
        <f>O30+O31+O22+O25+O34+O37</f>
        <v>0</v>
      </c>
      <c r="P21" s="216">
        <f>P30+P31+P22+P25+P34+P37+P40</f>
        <v>304254100</v>
      </c>
      <c r="Q21" s="216">
        <f t="shared" ref="Q21:AB21" si="3">Q30+Q31+Q22+Q25+Q34+Q37+Q40</f>
        <v>498767100</v>
      </c>
      <c r="R21" s="216">
        <f t="shared" si="3"/>
        <v>-2000000</v>
      </c>
      <c r="S21" s="216">
        <f t="shared" si="3"/>
        <v>-2605023</v>
      </c>
      <c r="T21" s="216">
        <f t="shared" si="3"/>
        <v>301649077</v>
      </c>
      <c r="U21" s="217">
        <f t="shared" si="3"/>
        <v>312767100</v>
      </c>
      <c r="V21" s="216">
        <f t="shared" si="3"/>
        <v>510767100</v>
      </c>
      <c r="W21" s="216">
        <f t="shared" si="3"/>
        <v>-2000000</v>
      </c>
      <c r="X21" s="215">
        <f t="shared" si="3"/>
        <v>0</v>
      </c>
      <c r="Y21" s="216">
        <f t="shared" si="3"/>
        <v>312767100</v>
      </c>
      <c r="Z21" s="217">
        <f t="shared" si="3"/>
        <v>318767100</v>
      </c>
      <c r="AA21" s="216">
        <f t="shared" si="3"/>
        <v>0</v>
      </c>
      <c r="AB21" s="216">
        <f t="shared" si="3"/>
        <v>318767100</v>
      </c>
    </row>
    <row r="22" spans="1:28" s="2" customFormat="1" ht="12.75" hidden="1" customHeight="1" x14ac:dyDescent="0.2">
      <c r="A22" s="212" t="s">
        <v>129</v>
      </c>
      <c r="B22" s="58" t="s">
        <v>108</v>
      </c>
      <c r="C22" s="58" t="s">
        <v>74</v>
      </c>
      <c r="D22" s="58" t="s">
        <v>69</v>
      </c>
      <c r="E22" s="103" t="s">
        <v>1</v>
      </c>
      <c r="F22" s="66" t="s">
        <v>135</v>
      </c>
      <c r="G22" s="66" t="s">
        <v>135</v>
      </c>
      <c r="H22" s="66" t="s">
        <v>135</v>
      </c>
      <c r="I22" s="66" t="s">
        <v>0</v>
      </c>
      <c r="J22" s="67" t="s">
        <v>135</v>
      </c>
      <c r="K22" s="309"/>
      <c r="L22" s="68">
        <f t="shared" ref="L22:AB23" si="4">L23</f>
        <v>0</v>
      </c>
      <c r="M22" s="69">
        <f t="shared" si="4"/>
        <v>0</v>
      </c>
      <c r="N22" s="216">
        <f t="shared" si="4"/>
        <v>0</v>
      </c>
      <c r="O22" s="216">
        <f t="shared" si="4"/>
        <v>0</v>
      </c>
      <c r="P22" s="216">
        <f t="shared" si="4"/>
        <v>0</v>
      </c>
      <c r="Q22" s="215">
        <f t="shared" si="4"/>
        <v>0</v>
      </c>
      <c r="R22" s="216">
        <f t="shared" si="4"/>
        <v>0</v>
      </c>
      <c r="S22" s="216">
        <f t="shared" si="4"/>
        <v>0</v>
      </c>
      <c r="T22" s="216">
        <f t="shared" si="4"/>
        <v>0</v>
      </c>
      <c r="U22" s="217">
        <f t="shared" si="4"/>
        <v>0</v>
      </c>
      <c r="V22" s="216">
        <f t="shared" si="4"/>
        <v>0</v>
      </c>
      <c r="W22" s="215">
        <f t="shared" si="4"/>
        <v>0</v>
      </c>
      <c r="X22" s="215">
        <f t="shared" si="4"/>
        <v>0</v>
      </c>
      <c r="Y22" s="216">
        <f t="shared" si="4"/>
        <v>0</v>
      </c>
      <c r="Z22" s="217">
        <f t="shared" si="4"/>
        <v>0</v>
      </c>
      <c r="AA22" s="216">
        <f t="shared" si="4"/>
        <v>0</v>
      </c>
      <c r="AB22" s="216">
        <f t="shared" si="4"/>
        <v>0</v>
      </c>
    </row>
    <row r="23" spans="1:28" s="2" customFormat="1" ht="25.5" hidden="1" customHeight="1" x14ac:dyDescent="0.2">
      <c r="A23" s="212" t="s">
        <v>21</v>
      </c>
      <c r="B23" s="58" t="s">
        <v>108</v>
      </c>
      <c r="C23" s="58" t="s">
        <v>74</v>
      </c>
      <c r="D23" s="58" t="s">
        <v>69</v>
      </c>
      <c r="E23" s="103" t="s">
        <v>1</v>
      </c>
      <c r="F23" s="70" t="s">
        <v>135</v>
      </c>
      <c r="G23" s="66" t="s">
        <v>135</v>
      </c>
      <c r="H23" s="66" t="s">
        <v>135</v>
      </c>
      <c r="I23" s="71" t="s">
        <v>0</v>
      </c>
      <c r="J23" s="67" t="s">
        <v>135</v>
      </c>
      <c r="K23" s="372">
        <v>600</v>
      </c>
      <c r="L23" s="68">
        <f t="shared" si="4"/>
        <v>0</v>
      </c>
      <c r="M23" s="69">
        <f t="shared" si="4"/>
        <v>0</v>
      </c>
      <c r="N23" s="216">
        <f t="shared" si="4"/>
        <v>0</v>
      </c>
      <c r="O23" s="216">
        <f t="shared" si="4"/>
        <v>0</v>
      </c>
      <c r="P23" s="216">
        <f t="shared" si="4"/>
        <v>0</v>
      </c>
      <c r="Q23" s="215">
        <f t="shared" si="4"/>
        <v>0</v>
      </c>
      <c r="R23" s="216">
        <f t="shared" si="4"/>
        <v>0</v>
      </c>
      <c r="S23" s="216">
        <f t="shared" si="4"/>
        <v>0</v>
      </c>
      <c r="T23" s="216">
        <f t="shared" si="4"/>
        <v>0</v>
      </c>
      <c r="U23" s="217">
        <f t="shared" si="4"/>
        <v>0</v>
      </c>
      <c r="V23" s="216">
        <f t="shared" si="4"/>
        <v>0</v>
      </c>
      <c r="W23" s="215">
        <f t="shared" si="4"/>
        <v>0</v>
      </c>
      <c r="X23" s="215">
        <f t="shared" si="4"/>
        <v>0</v>
      </c>
      <c r="Y23" s="216">
        <f t="shared" si="4"/>
        <v>0</v>
      </c>
      <c r="Z23" s="217">
        <f t="shared" si="4"/>
        <v>0</v>
      </c>
      <c r="AA23" s="216">
        <f t="shared" si="4"/>
        <v>0</v>
      </c>
      <c r="AB23" s="216">
        <f t="shared" si="4"/>
        <v>0</v>
      </c>
    </row>
    <row r="24" spans="1:28" s="2" customFormat="1" ht="12.75" hidden="1" customHeight="1" x14ac:dyDescent="0.2">
      <c r="A24" s="212" t="s">
        <v>22</v>
      </c>
      <c r="B24" s="58" t="s">
        <v>108</v>
      </c>
      <c r="C24" s="58" t="s">
        <v>74</v>
      </c>
      <c r="D24" s="58" t="s">
        <v>69</v>
      </c>
      <c r="E24" s="103" t="s">
        <v>1</v>
      </c>
      <c r="F24" s="70" t="s">
        <v>135</v>
      </c>
      <c r="G24" s="66" t="s">
        <v>135</v>
      </c>
      <c r="H24" s="66" t="s">
        <v>135</v>
      </c>
      <c r="I24" s="71" t="s">
        <v>0</v>
      </c>
      <c r="J24" s="67" t="s">
        <v>135</v>
      </c>
      <c r="K24" s="372" t="s">
        <v>23</v>
      </c>
      <c r="L24" s="68">
        <v>0</v>
      </c>
      <c r="M24" s="69">
        <v>0</v>
      </c>
      <c r="N24" s="216">
        <v>0</v>
      </c>
      <c r="O24" s="216">
        <v>0</v>
      </c>
      <c r="P24" s="216">
        <v>0</v>
      </c>
      <c r="Q24" s="215">
        <v>0</v>
      </c>
      <c r="R24" s="216">
        <v>0</v>
      </c>
      <c r="S24" s="216">
        <v>0</v>
      </c>
      <c r="T24" s="216">
        <v>0</v>
      </c>
      <c r="U24" s="217">
        <v>0</v>
      </c>
      <c r="V24" s="216">
        <v>0</v>
      </c>
      <c r="W24" s="215">
        <v>0</v>
      </c>
      <c r="X24" s="215">
        <v>0</v>
      </c>
      <c r="Y24" s="216">
        <v>0</v>
      </c>
      <c r="Z24" s="217">
        <v>0</v>
      </c>
      <c r="AA24" s="216">
        <v>0</v>
      </c>
      <c r="AB24" s="216">
        <v>0</v>
      </c>
    </row>
    <row r="25" spans="1:28" s="2" customFormat="1" ht="12.75" customHeight="1" x14ac:dyDescent="0.2">
      <c r="A25" s="212" t="s">
        <v>129</v>
      </c>
      <c r="B25" s="58" t="s">
        <v>108</v>
      </c>
      <c r="C25" s="58" t="s">
        <v>74</v>
      </c>
      <c r="D25" s="58" t="s">
        <v>69</v>
      </c>
      <c r="E25" s="103" t="s">
        <v>1</v>
      </c>
      <c r="F25" s="66" t="s">
        <v>135</v>
      </c>
      <c r="G25" s="66" t="s">
        <v>135</v>
      </c>
      <c r="H25" s="66" t="s">
        <v>135</v>
      </c>
      <c r="I25" s="66" t="s">
        <v>0</v>
      </c>
      <c r="J25" s="67" t="s">
        <v>135</v>
      </c>
      <c r="K25" s="309"/>
      <c r="L25" s="68">
        <f t="shared" ref="L25:AB26" si="5">L26</f>
        <v>6401169</v>
      </c>
      <c r="M25" s="69">
        <f t="shared" si="5"/>
        <v>0</v>
      </c>
      <c r="N25" s="216">
        <f t="shared" si="5"/>
        <v>0</v>
      </c>
      <c r="O25" s="216">
        <f t="shared" si="5"/>
        <v>0</v>
      </c>
      <c r="P25" s="216">
        <f t="shared" si="5"/>
        <v>0</v>
      </c>
      <c r="Q25" s="215">
        <f t="shared" si="5"/>
        <v>147100</v>
      </c>
      <c r="R25" s="216">
        <f t="shared" si="5"/>
        <v>0</v>
      </c>
      <c r="S25" s="216">
        <f t="shared" si="5"/>
        <v>0</v>
      </c>
      <c r="T25" s="216">
        <f t="shared" si="5"/>
        <v>0</v>
      </c>
      <c r="U25" s="217">
        <f t="shared" si="5"/>
        <v>147100</v>
      </c>
      <c r="V25" s="216">
        <f t="shared" si="5"/>
        <v>147100</v>
      </c>
      <c r="W25" s="215">
        <f t="shared" si="5"/>
        <v>0</v>
      </c>
      <c r="X25" s="215">
        <f t="shared" si="5"/>
        <v>0</v>
      </c>
      <c r="Y25" s="216">
        <f t="shared" si="5"/>
        <v>147100</v>
      </c>
      <c r="Z25" s="217">
        <f t="shared" si="5"/>
        <v>147100</v>
      </c>
      <c r="AA25" s="216">
        <f t="shared" si="5"/>
        <v>0</v>
      </c>
      <c r="AB25" s="216">
        <f t="shared" si="5"/>
        <v>147100</v>
      </c>
    </row>
    <row r="26" spans="1:28" s="2" customFormat="1" ht="12.75" customHeight="1" x14ac:dyDescent="0.2">
      <c r="A26" s="212" t="s">
        <v>21</v>
      </c>
      <c r="B26" s="58" t="s">
        <v>108</v>
      </c>
      <c r="C26" s="58" t="s">
        <v>74</v>
      </c>
      <c r="D26" s="58" t="s">
        <v>69</v>
      </c>
      <c r="E26" s="103" t="s">
        <v>1</v>
      </c>
      <c r="F26" s="70" t="s">
        <v>135</v>
      </c>
      <c r="G26" s="66" t="s">
        <v>135</v>
      </c>
      <c r="H26" s="66" t="s">
        <v>135</v>
      </c>
      <c r="I26" s="71" t="s">
        <v>0</v>
      </c>
      <c r="J26" s="67" t="s">
        <v>135</v>
      </c>
      <c r="K26" s="372">
        <v>600</v>
      </c>
      <c r="L26" s="68">
        <f t="shared" si="5"/>
        <v>6401169</v>
      </c>
      <c r="M26" s="69">
        <f t="shared" si="5"/>
        <v>0</v>
      </c>
      <c r="N26" s="216">
        <f t="shared" si="5"/>
        <v>0</v>
      </c>
      <c r="O26" s="216">
        <f t="shared" si="5"/>
        <v>0</v>
      </c>
      <c r="P26" s="216">
        <f t="shared" si="5"/>
        <v>0</v>
      </c>
      <c r="Q26" s="215">
        <f t="shared" si="5"/>
        <v>147100</v>
      </c>
      <c r="R26" s="216">
        <f t="shared" si="5"/>
        <v>0</v>
      </c>
      <c r="S26" s="216">
        <f t="shared" si="5"/>
        <v>0</v>
      </c>
      <c r="T26" s="216">
        <f t="shared" si="5"/>
        <v>0</v>
      </c>
      <c r="U26" s="217">
        <f t="shared" si="5"/>
        <v>147100</v>
      </c>
      <c r="V26" s="216">
        <f t="shared" si="5"/>
        <v>147100</v>
      </c>
      <c r="W26" s="215">
        <f t="shared" si="5"/>
        <v>0</v>
      </c>
      <c r="X26" s="215">
        <f t="shared" si="5"/>
        <v>0</v>
      </c>
      <c r="Y26" s="216">
        <f t="shared" si="5"/>
        <v>147100</v>
      </c>
      <c r="Z26" s="217">
        <f t="shared" si="5"/>
        <v>147100</v>
      </c>
      <c r="AA26" s="216">
        <f t="shared" si="5"/>
        <v>0</v>
      </c>
      <c r="AB26" s="216">
        <f t="shared" si="5"/>
        <v>147100</v>
      </c>
    </row>
    <row r="27" spans="1:28" s="2" customFormat="1" ht="12.75" customHeight="1" x14ac:dyDescent="0.2">
      <c r="A27" s="212" t="s">
        <v>22</v>
      </c>
      <c r="B27" s="58" t="s">
        <v>108</v>
      </c>
      <c r="C27" s="58" t="s">
        <v>74</v>
      </c>
      <c r="D27" s="58" t="s">
        <v>69</v>
      </c>
      <c r="E27" s="103" t="s">
        <v>1</v>
      </c>
      <c r="F27" s="66" t="s">
        <v>135</v>
      </c>
      <c r="G27" s="66" t="s">
        <v>135</v>
      </c>
      <c r="H27" s="66" t="s">
        <v>135</v>
      </c>
      <c r="I27" s="71" t="s">
        <v>0</v>
      </c>
      <c r="J27" s="67" t="s">
        <v>135</v>
      </c>
      <c r="K27" s="372" t="s">
        <v>23</v>
      </c>
      <c r="L27" s="68">
        <f>120000+39400+71926+2724343+3445500</f>
        <v>6401169</v>
      </c>
      <c r="M27" s="69">
        <v>0</v>
      </c>
      <c r="N27" s="216">
        <v>0</v>
      </c>
      <c r="O27" s="216">
        <v>0</v>
      </c>
      <c r="P27" s="216">
        <v>0</v>
      </c>
      <c r="Q27" s="215">
        <v>147100</v>
      </c>
      <c r="R27" s="216">
        <v>0</v>
      </c>
      <c r="S27" s="216">
        <v>0</v>
      </c>
      <c r="T27" s="216">
        <v>0</v>
      </c>
      <c r="U27" s="217">
        <v>147100</v>
      </c>
      <c r="V27" s="216">
        <v>147100</v>
      </c>
      <c r="W27" s="215">
        <v>0</v>
      </c>
      <c r="X27" s="215">
        <v>0</v>
      </c>
      <c r="Y27" s="216">
        <v>147100</v>
      </c>
      <c r="Z27" s="217">
        <v>147100</v>
      </c>
      <c r="AA27" s="216">
        <v>0</v>
      </c>
      <c r="AB27" s="216">
        <v>147100</v>
      </c>
    </row>
    <row r="28" spans="1:28" s="2" customFormat="1" ht="25.5" x14ac:dyDescent="0.2">
      <c r="A28" s="212" t="s">
        <v>147</v>
      </c>
      <c r="B28" s="58" t="s">
        <v>108</v>
      </c>
      <c r="C28" s="58" t="s">
        <v>74</v>
      </c>
      <c r="D28" s="58" t="s">
        <v>69</v>
      </c>
      <c r="E28" s="117" t="s">
        <v>1</v>
      </c>
      <c r="F28" s="73" t="s">
        <v>135</v>
      </c>
      <c r="G28" s="66" t="s">
        <v>135</v>
      </c>
      <c r="H28" s="66" t="s">
        <v>135</v>
      </c>
      <c r="I28" s="74" t="s">
        <v>148</v>
      </c>
      <c r="J28" s="67" t="s">
        <v>135</v>
      </c>
      <c r="K28" s="372"/>
      <c r="L28" s="64">
        <f t="shared" ref="L28:AB29" si="6">L29</f>
        <v>90241800</v>
      </c>
      <c r="M28" s="65">
        <f t="shared" si="6"/>
        <v>0</v>
      </c>
      <c r="N28" s="224">
        <f t="shared" si="6"/>
        <v>115000000</v>
      </c>
      <c r="O28" s="224">
        <f t="shared" si="6"/>
        <v>0</v>
      </c>
      <c r="P28" s="224">
        <f t="shared" si="6"/>
        <v>115000000</v>
      </c>
      <c r="Q28" s="223">
        <f t="shared" si="6"/>
        <v>117000000</v>
      </c>
      <c r="R28" s="224">
        <f t="shared" si="6"/>
        <v>-2000000</v>
      </c>
      <c r="S28" s="224">
        <f t="shared" si="6"/>
        <v>0</v>
      </c>
      <c r="T28" s="224">
        <f t="shared" si="6"/>
        <v>115000000</v>
      </c>
      <c r="U28" s="225">
        <f t="shared" si="6"/>
        <v>115000000</v>
      </c>
      <c r="V28" s="224">
        <f t="shared" si="6"/>
        <v>117000000</v>
      </c>
      <c r="W28" s="223">
        <f t="shared" si="6"/>
        <v>-2000000</v>
      </c>
      <c r="X28" s="223">
        <f t="shared" si="6"/>
        <v>0</v>
      </c>
      <c r="Y28" s="224">
        <f t="shared" si="6"/>
        <v>115000000</v>
      </c>
      <c r="Z28" s="225">
        <f t="shared" si="6"/>
        <v>115000000</v>
      </c>
      <c r="AA28" s="224">
        <f t="shared" si="6"/>
        <v>0</v>
      </c>
      <c r="AB28" s="224">
        <f t="shared" si="6"/>
        <v>115000000</v>
      </c>
    </row>
    <row r="29" spans="1:28" s="2" customFormat="1" ht="25.5" x14ac:dyDescent="0.2">
      <c r="A29" s="212" t="s">
        <v>21</v>
      </c>
      <c r="B29" s="58" t="s">
        <v>108</v>
      </c>
      <c r="C29" s="58" t="s">
        <v>74</v>
      </c>
      <c r="D29" s="58" t="s">
        <v>69</v>
      </c>
      <c r="E29" s="103" t="s">
        <v>1</v>
      </c>
      <c r="F29" s="70" t="s">
        <v>135</v>
      </c>
      <c r="G29" s="66" t="s">
        <v>135</v>
      </c>
      <c r="H29" s="66" t="s">
        <v>135</v>
      </c>
      <c r="I29" s="71" t="s">
        <v>148</v>
      </c>
      <c r="J29" s="67" t="s">
        <v>135</v>
      </c>
      <c r="K29" s="372">
        <v>600</v>
      </c>
      <c r="L29" s="64">
        <f t="shared" si="6"/>
        <v>90241800</v>
      </c>
      <c r="M29" s="65">
        <f t="shared" si="6"/>
        <v>0</v>
      </c>
      <c r="N29" s="224">
        <f t="shared" si="6"/>
        <v>115000000</v>
      </c>
      <c r="O29" s="224">
        <f t="shared" si="6"/>
        <v>0</v>
      </c>
      <c r="P29" s="224">
        <f t="shared" si="6"/>
        <v>115000000</v>
      </c>
      <c r="Q29" s="223">
        <f t="shared" si="6"/>
        <v>117000000</v>
      </c>
      <c r="R29" s="224">
        <f t="shared" si="6"/>
        <v>-2000000</v>
      </c>
      <c r="S29" s="224">
        <f t="shared" si="6"/>
        <v>0</v>
      </c>
      <c r="T29" s="224">
        <f t="shared" si="6"/>
        <v>115000000</v>
      </c>
      <c r="U29" s="225">
        <f t="shared" si="6"/>
        <v>115000000</v>
      </c>
      <c r="V29" s="224">
        <f t="shared" si="6"/>
        <v>117000000</v>
      </c>
      <c r="W29" s="223">
        <f t="shared" si="6"/>
        <v>-2000000</v>
      </c>
      <c r="X29" s="223">
        <f t="shared" si="6"/>
        <v>0</v>
      </c>
      <c r="Y29" s="224">
        <f t="shared" si="6"/>
        <v>115000000</v>
      </c>
      <c r="Z29" s="225">
        <f t="shared" si="6"/>
        <v>115000000</v>
      </c>
      <c r="AA29" s="224">
        <f t="shared" si="6"/>
        <v>0</v>
      </c>
      <c r="AB29" s="224">
        <f t="shared" si="6"/>
        <v>115000000</v>
      </c>
    </row>
    <row r="30" spans="1:28" s="2" customFormat="1" x14ac:dyDescent="0.2">
      <c r="A30" s="212" t="s">
        <v>22</v>
      </c>
      <c r="B30" s="58" t="s">
        <v>108</v>
      </c>
      <c r="C30" s="58" t="s">
        <v>74</v>
      </c>
      <c r="D30" s="58" t="s">
        <v>69</v>
      </c>
      <c r="E30" s="103" t="s">
        <v>1</v>
      </c>
      <c r="F30" s="70" t="s">
        <v>135</v>
      </c>
      <c r="G30" s="66" t="s">
        <v>135</v>
      </c>
      <c r="H30" s="66" t="s">
        <v>135</v>
      </c>
      <c r="I30" s="71" t="s">
        <v>148</v>
      </c>
      <c r="J30" s="67" t="s">
        <v>135</v>
      </c>
      <c r="K30" s="372" t="s">
        <v>23</v>
      </c>
      <c r="L30" s="64">
        <v>90241800</v>
      </c>
      <c r="M30" s="65">
        <v>0</v>
      </c>
      <c r="N30" s="224">
        <v>115000000</v>
      </c>
      <c r="O30" s="224">
        <v>0</v>
      </c>
      <c r="P30" s="224">
        <v>115000000</v>
      </c>
      <c r="Q30" s="223">
        <v>117000000</v>
      </c>
      <c r="R30" s="224">
        <v>-2000000</v>
      </c>
      <c r="S30" s="224">
        <v>0</v>
      </c>
      <c r="T30" s="224">
        <v>115000000</v>
      </c>
      <c r="U30" s="225">
        <f>R30+Q30</f>
        <v>115000000</v>
      </c>
      <c r="V30" s="224">
        <v>117000000</v>
      </c>
      <c r="W30" s="223">
        <v>-2000000</v>
      </c>
      <c r="X30" s="223">
        <v>0</v>
      </c>
      <c r="Y30" s="224">
        <v>115000000</v>
      </c>
      <c r="Z30" s="225">
        <f>W30+V30</f>
        <v>115000000</v>
      </c>
      <c r="AA30" s="224">
        <v>0</v>
      </c>
      <c r="AB30" s="224">
        <f>Y30+X30</f>
        <v>115000000</v>
      </c>
    </row>
    <row r="31" spans="1:28" s="2" customFormat="1" ht="49.5" customHeight="1" x14ac:dyDescent="0.2">
      <c r="A31" s="207" t="s">
        <v>354</v>
      </c>
      <c r="B31" s="58" t="s">
        <v>108</v>
      </c>
      <c r="C31" s="58" t="s">
        <v>74</v>
      </c>
      <c r="D31" s="58" t="s">
        <v>69</v>
      </c>
      <c r="E31" s="103" t="s">
        <v>1</v>
      </c>
      <c r="F31" s="70" t="s">
        <v>135</v>
      </c>
      <c r="G31" s="66" t="s">
        <v>135</v>
      </c>
      <c r="H31" s="66" t="s">
        <v>135</v>
      </c>
      <c r="I31" s="71" t="s">
        <v>225</v>
      </c>
      <c r="J31" s="67" t="s">
        <v>135</v>
      </c>
      <c r="K31" s="372"/>
      <c r="L31" s="64">
        <f t="shared" ref="L31:AB32" si="7">L32</f>
        <v>37000</v>
      </c>
      <c r="M31" s="65">
        <f t="shared" si="7"/>
        <v>0</v>
      </c>
      <c r="N31" s="224">
        <f t="shared" si="7"/>
        <v>20000</v>
      </c>
      <c r="O31" s="224">
        <f t="shared" si="7"/>
        <v>0</v>
      </c>
      <c r="P31" s="224">
        <f t="shared" si="7"/>
        <v>20000</v>
      </c>
      <c r="Q31" s="223">
        <f t="shared" si="7"/>
        <v>20000</v>
      </c>
      <c r="R31" s="224">
        <f t="shared" si="7"/>
        <v>0</v>
      </c>
      <c r="S31" s="224">
        <f t="shared" si="7"/>
        <v>0</v>
      </c>
      <c r="T31" s="224">
        <f t="shared" si="7"/>
        <v>20000</v>
      </c>
      <c r="U31" s="225">
        <f t="shared" si="7"/>
        <v>20000</v>
      </c>
      <c r="V31" s="224">
        <f>V32</f>
        <v>20000</v>
      </c>
      <c r="W31" s="223">
        <f>W32</f>
        <v>0</v>
      </c>
      <c r="X31" s="223">
        <f t="shared" si="7"/>
        <v>0</v>
      </c>
      <c r="Y31" s="224">
        <f t="shared" si="7"/>
        <v>20000</v>
      </c>
      <c r="Z31" s="225">
        <f>Z32</f>
        <v>20000</v>
      </c>
      <c r="AA31" s="224">
        <f>AA32</f>
        <v>0</v>
      </c>
      <c r="AB31" s="224">
        <f>AB32</f>
        <v>20000</v>
      </c>
    </row>
    <row r="32" spans="1:28" s="2" customFormat="1" ht="34.5" customHeight="1" x14ac:dyDescent="0.2">
      <c r="A32" s="212" t="s">
        <v>21</v>
      </c>
      <c r="B32" s="58" t="s">
        <v>108</v>
      </c>
      <c r="C32" s="58" t="s">
        <v>74</v>
      </c>
      <c r="D32" s="58" t="s">
        <v>69</v>
      </c>
      <c r="E32" s="103" t="s">
        <v>1</v>
      </c>
      <c r="F32" s="70" t="s">
        <v>135</v>
      </c>
      <c r="G32" s="66" t="s">
        <v>135</v>
      </c>
      <c r="H32" s="66" t="s">
        <v>135</v>
      </c>
      <c r="I32" s="71" t="s">
        <v>225</v>
      </c>
      <c r="J32" s="67" t="s">
        <v>135</v>
      </c>
      <c r="K32" s="372" t="s">
        <v>149</v>
      </c>
      <c r="L32" s="64">
        <f t="shared" si="7"/>
        <v>37000</v>
      </c>
      <c r="M32" s="65">
        <f t="shared" si="7"/>
        <v>0</v>
      </c>
      <c r="N32" s="224">
        <f t="shared" si="7"/>
        <v>20000</v>
      </c>
      <c r="O32" s="224">
        <f t="shared" si="7"/>
        <v>0</v>
      </c>
      <c r="P32" s="224">
        <f t="shared" si="7"/>
        <v>20000</v>
      </c>
      <c r="Q32" s="223">
        <f t="shared" si="7"/>
        <v>20000</v>
      </c>
      <c r="R32" s="224">
        <f t="shared" si="7"/>
        <v>0</v>
      </c>
      <c r="S32" s="224">
        <f t="shared" si="7"/>
        <v>0</v>
      </c>
      <c r="T32" s="224">
        <f t="shared" si="7"/>
        <v>20000</v>
      </c>
      <c r="U32" s="225">
        <f t="shared" si="7"/>
        <v>20000</v>
      </c>
      <c r="V32" s="224">
        <f t="shared" si="7"/>
        <v>20000</v>
      </c>
      <c r="W32" s="223">
        <f t="shared" si="7"/>
        <v>0</v>
      </c>
      <c r="X32" s="223">
        <f t="shared" si="7"/>
        <v>0</v>
      </c>
      <c r="Y32" s="224">
        <f t="shared" si="7"/>
        <v>20000</v>
      </c>
      <c r="Z32" s="225">
        <f t="shared" si="7"/>
        <v>20000</v>
      </c>
      <c r="AA32" s="224">
        <f t="shared" si="7"/>
        <v>0</v>
      </c>
      <c r="AB32" s="224">
        <f t="shared" si="7"/>
        <v>20000</v>
      </c>
    </row>
    <row r="33" spans="1:28" s="2" customFormat="1" ht="21.75" customHeight="1" x14ac:dyDescent="0.2">
      <c r="A33" s="212" t="s">
        <v>22</v>
      </c>
      <c r="B33" s="58" t="s">
        <v>108</v>
      </c>
      <c r="C33" s="58" t="s">
        <v>74</v>
      </c>
      <c r="D33" s="58" t="s">
        <v>69</v>
      </c>
      <c r="E33" s="103" t="s">
        <v>1</v>
      </c>
      <c r="F33" s="70" t="s">
        <v>135</v>
      </c>
      <c r="G33" s="66" t="s">
        <v>135</v>
      </c>
      <c r="H33" s="66" t="s">
        <v>135</v>
      </c>
      <c r="I33" s="71" t="s">
        <v>225</v>
      </c>
      <c r="J33" s="67" t="s">
        <v>135</v>
      </c>
      <c r="K33" s="372" t="s">
        <v>23</v>
      </c>
      <c r="L33" s="64">
        <v>37000</v>
      </c>
      <c r="M33" s="65">
        <v>0</v>
      </c>
      <c r="N33" s="224">
        <v>20000</v>
      </c>
      <c r="O33" s="224">
        <v>0</v>
      </c>
      <c r="P33" s="224">
        <v>20000</v>
      </c>
      <c r="Q33" s="223">
        <v>20000</v>
      </c>
      <c r="R33" s="224">
        <v>0</v>
      </c>
      <c r="S33" s="224">
        <v>0</v>
      </c>
      <c r="T33" s="224">
        <v>20000</v>
      </c>
      <c r="U33" s="225">
        <v>20000</v>
      </c>
      <c r="V33" s="224">
        <v>20000</v>
      </c>
      <c r="W33" s="223">
        <v>0</v>
      </c>
      <c r="X33" s="223">
        <v>0</v>
      </c>
      <c r="Y33" s="224">
        <v>20000</v>
      </c>
      <c r="Z33" s="225">
        <v>20000</v>
      </c>
      <c r="AA33" s="224">
        <v>0</v>
      </c>
      <c r="AB33" s="224">
        <v>20000</v>
      </c>
    </row>
    <row r="34" spans="1:28" s="2" customFormat="1" ht="99" customHeight="1" x14ac:dyDescent="0.2">
      <c r="A34" s="207" t="s">
        <v>276</v>
      </c>
      <c r="B34" s="58" t="s">
        <v>108</v>
      </c>
      <c r="C34" s="58" t="s">
        <v>74</v>
      </c>
      <c r="D34" s="58" t="s">
        <v>69</v>
      </c>
      <c r="E34" s="103" t="s">
        <v>1</v>
      </c>
      <c r="F34" s="70" t="s">
        <v>135</v>
      </c>
      <c r="G34" s="66" t="s">
        <v>135</v>
      </c>
      <c r="H34" s="66" t="s">
        <v>135</v>
      </c>
      <c r="I34" s="71" t="s">
        <v>277</v>
      </c>
      <c r="J34" s="67" t="s">
        <v>135</v>
      </c>
      <c r="K34" s="372"/>
      <c r="L34" s="68">
        <f t="shared" ref="L34:AB35" si="8">L35</f>
        <v>11000000</v>
      </c>
      <c r="M34" s="69">
        <f t="shared" si="8"/>
        <v>0</v>
      </c>
      <c r="N34" s="216">
        <f t="shared" si="8"/>
        <v>13000000</v>
      </c>
      <c r="O34" s="216">
        <f t="shared" si="8"/>
        <v>0</v>
      </c>
      <c r="P34" s="216">
        <f t="shared" si="8"/>
        <v>13000000</v>
      </c>
      <c r="Q34" s="215">
        <f t="shared" si="8"/>
        <v>13600000</v>
      </c>
      <c r="R34" s="216">
        <f t="shared" si="8"/>
        <v>0</v>
      </c>
      <c r="S34" s="216">
        <f t="shared" si="8"/>
        <v>0</v>
      </c>
      <c r="T34" s="216">
        <f t="shared" si="8"/>
        <v>13000000</v>
      </c>
      <c r="U34" s="217">
        <f t="shared" si="8"/>
        <v>13600000</v>
      </c>
      <c r="V34" s="216">
        <f t="shared" si="8"/>
        <v>13600000</v>
      </c>
      <c r="W34" s="215">
        <f t="shared" si="8"/>
        <v>0</v>
      </c>
      <c r="X34" s="215">
        <f t="shared" si="8"/>
        <v>0</v>
      </c>
      <c r="Y34" s="216">
        <f t="shared" si="8"/>
        <v>13600000</v>
      </c>
      <c r="Z34" s="217">
        <f t="shared" si="8"/>
        <v>13600000</v>
      </c>
      <c r="AA34" s="216">
        <f t="shared" si="8"/>
        <v>0</v>
      </c>
      <c r="AB34" s="216">
        <f t="shared" si="8"/>
        <v>13600000</v>
      </c>
    </row>
    <row r="35" spans="1:28" s="2" customFormat="1" ht="21.75" customHeight="1" x14ac:dyDescent="0.2">
      <c r="A35" s="212" t="s">
        <v>21</v>
      </c>
      <c r="B35" s="58" t="s">
        <v>108</v>
      </c>
      <c r="C35" s="58" t="s">
        <v>74</v>
      </c>
      <c r="D35" s="58" t="s">
        <v>69</v>
      </c>
      <c r="E35" s="103" t="s">
        <v>1</v>
      </c>
      <c r="F35" s="70" t="s">
        <v>135</v>
      </c>
      <c r="G35" s="66" t="s">
        <v>135</v>
      </c>
      <c r="H35" s="66" t="s">
        <v>135</v>
      </c>
      <c r="I35" s="71" t="s">
        <v>277</v>
      </c>
      <c r="J35" s="67" t="s">
        <v>135</v>
      </c>
      <c r="K35" s="372" t="s">
        <v>149</v>
      </c>
      <c r="L35" s="68">
        <f t="shared" si="8"/>
        <v>11000000</v>
      </c>
      <c r="M35" s="69">
        <f t="shared" si="8"/>
        <v>0</v>
      </c>
      <c r="N35" s="216">
        <f t="shared" si="8"/>
        <v>13000000</v>
      </c>
      <c r="O35" s="216">
        <f t="shared" si="8"/>
        <v>0</v>
      </c>
      <c r="P35" s="216">
        <f t="shared" si="8"/>
        <v>13000000</v>
      </c>
      <c r="Q35" s="215">
        <f t="shared" si="8"/>
        <v>13600000</v>
      </c>
      <c r="R35" s="216">
        <f t="shared" si="8"/>
        <v>0</v>
      </c>
      <c r="S35" s="216">
        <f t="shared" si="8"/>
        <v>0</v>
      </c>
      <c r="T35" s="216">
        <f t="shared" si="8"/>
        <v>13000000</v>
      </c>
      <c r="U35" s="217">
        <f t="shared" si="8"/>
        <v>13600000</v>
      </c>
      <c r="V35" s="216">
        <f t="shared" si="8"/>
        <v>13600000</v>
      </c>
      <c r="W35" s="215">
        <f t="shared" si="8"/>
        <v>0</v>
      </c>
      <c r="X35" s="215">
        <f t="shared" si="8"/>
        <v>0</v>
      </c>
      <c r="Y35" s="216">
        <f t="shared" si="8"/>
        <v>13600000</v>
      </c>
      <c r="Z35" s="217">
        <f t="shared" si="8"/>
        <v>13600000</v>
      </c>
      <c r="AA35" s="216">
        <f t="shared" si="8"/>
        <v>0</v>
      </c>
      <c r="AB35" s="216">
        <f t="shared" si="8"/>
        <v>13600000</v>
      </c>
    </row>
    <row r="36" spans="1:28" s="2" customFormat="1" ht="21.75" customHeight="1" x14ac:dyDescent="0.2">
      <c r="A36" s="212" t="s">
        <v>22</v>
      </c>
      <c r="B36" s="58" t="s">
        <v>108</v>
      </c>
      <c r="C36" s="58" t="s">
        <v>74</v>
      </c>
      <c r="D36" s="58" t="s">
        <v>69</v>
      </c>
      <c r="E36" s="103" t="s">
        <v>1</v>
      </c>
      <c r="F36" s="70" t="s">
        <v>135</v>
      </c>
      <c r="G36" s="66" t="s">
        <v>135</v>
      </c>
      <c r="H36" s="66" t="s">
        <v>135</v>
      </c>
      <c r="I36" s="71" t="s">
        <v>277</v>
      </c>
      <c r="J36" s="67" t="s">
        <v>135</v>
      </c>
      <c r="K36" s="372" t="s">
        <v>23</v>
      </c>
      <c r="L36" s="68">
        <v>11000000</v>
      </c>
      <c r="M36" s="69">
        <v>0</v>
      </c>
      <c r="N36" s="216">
        <v>13000000</v>
      </c>
      <c r="O36" s="216">
        <v>0</v>
      </c>
      <c r="P36" s="216">
        <v>13000000</v>
      </c>
      <c r="Q36" s="215">
        <v>13600000</v>
      </c>
      <c r="R36" s="216">
        <v>0</v>
      </c>
      <c r="S36" s="216">
        <v>0</v>
      </c>
      <c r="T36" s="216">
        <v>13000000</v>
      </c>
      <c r="U36" s="217">
        <v>13600000</v>
      </c>
      <c r="V36" s="216">
        <v>13600000</v>
      </c>
      <c r="W36" s="215">
        <v>0</v>
      </c>
      <c r="X36" s="215">
        <v>0</v>
      </c>
      <c r="Y36" s="216">
        <v>13600000</v>
      </c>
      <c r="Z36" s="217">
        <v>13600000</v>
      </c>
      <c r="AA36" s="216">
        <v>0</v>
      </c>
      <c r="AB36" s="216">
        <v>13600000</v>
      </c>
    </row>
    <row r="37" spans="1:28" s="2" customFormat="1" ht="57" customHeight="1" x14ac:dyDescent="0.2">
      <c r="A37" s="212" t="s">
        <v>280</v>
      </c>
      <c r="B37" s="58" t="s">
        <v>108</v>
      </c>
      <c r="C37" s="58" t="s">
        <v>74</v>
      </c>
      <c r="D37" s="58" t="s">
        <v>69</v>
      </c>
      <c r="E37" s="117" t="s">
        <v>1</v>
      </c>
      <c r="F37" s="73" t="s">
        <v>135</v>
      </c>
      <c r="G37" s="66" t="s">
        <v>135</v>
      </c>
      <c r="H37" s="66" t="s">
        <v>135</v>
      </c>
      <c r="I37" s="74" t="s">
        <v>279</v>
      </c>
      <c r="J37" s="67" t="s">
        <v>135</v>
      </c>
      <c r="K37" s="372"/>
      <c r="L37" s="68">
        <f t="shared" ref="L37:AB41" si="9">L38</f>
        <v>135143500</v>
      </c>
      <c r="M37" s="69">
        <f t="shared" si="9"/>
        <v>0</v>
      </c>
      <c r="N37" s="216">
        <f t="shared" si="9"/>
        <v>175000000</v>
      </c>
      <c r="O37" s="216">
        <f t="shared" si="9"/>
        <v>0</v>
      </c>
      <c r="P37" s="216">
        <f t="shared" si="9"/>
        <v>175000000</v>
      </c>
      <c r="Q37" s="215">
        <f t="shared" si="9"/>
        <v>184000000</v>
      </c>
      <c r="R37" s="216">
        <f t="shared" si="9"/>
        <v>0</v>
      </c>
      <c r="S37" s="216">
        <f t="shared" si="9"/>
        <v>-3280923</v>
      </c>
      <c r="T37" s="216">
        <f t="shared" si="9"/>
        <v>171719077</v>
      </c>
      <c r="U37" s="217">
        <f t="shared" si="9"/>
        <v>184000000</v>
      </c>
      <c r="V37" s="216">
        <f t="shared" si="9"/>
        <v>190000000</v>
      </c>
      <c r="W37" s="215">
        <f t="shared" si="9"/>
        <v>0</v>
      </c>
      <c r="X37" s="215">
        <f t="shared" si="9"/>
        <v>0</v>
      </c>
      <c r="Y37" s="216">
        <f t="shared" si="9"/>
        <v>184000000</v>
      </c>
      <c r="Z37" s="217">
        <f t="shared" si="9"/>
        <v>190000000</v>
      </c>
      <c r="AA37" s="216">
        <f t="shared" si="9"/>
        <v>0</v>
      </c>
      <c r="AB37" s="216">
        <f t="shared" si="9"/>
        <v>190000000</v>
      </c>
    </row>
    <row r="38" spans="1:28" s="2" customFormat="1" ht="21.75" customHeight="1" x14ac:dyDescent="0.2">
      <c r="A38" s="212" t="s">
        <v>21</v>
      </c>
      <c r="B38" s="58" t="s">
        <v>108</v>
      </c>
      <c r="C38" s="58" t="s">
        <v>74</v>
      </c>
      <c r="D38" s="58" t="s">
        <v>69</v>
      </c>
      <c r="E38" s="117" t="s">
        <v>1</v>
      </c>
      <c r="F38" s="73" t="s">
        <v>135</v>
      </c>
      <c r="G38" s="66" t="s">
        <v>135</v>
      </c>
      <c r="H38" s="66" t="s">
        <v>135</v>
      </c>
      <c r="I38" s="74" t="s">
        <v>279</v>
      </c>
      <c r="J38" s="67" t="s">
        <v>135</v>
      </c>
      <c r="K38" s="372">
        <v>600</v>
      </c>
      <c r="L38" s="68">
        <f t="shared" si="9"/>
        <v>135143500</v>
      </c>
      <c r="M38" s="69">
        <f t="shared" si="9"/>
        <v>0</v>
      </c>
      <c r="N38" s="216">
        <f t="shared" si="9"/>
        <v>175000000</v>
      </c>
      <c r="O38" s="216">
        <f t="shared" si="9"/>
        <v>0</v>
      </c>
      <c r="P38" s="216">
        <f t="shared" si="9"/>
        <v>175000000</v>
      </c>
      <c r="Q38" s="215">
        <f t="shared" si="9"/>
        <v>184000000</v>
      </c>
      <c r="R38" s="216">
        <f t="shared" si="9"/>
        <v>0</v>
      </c>
      <c r="S38" s="216">
        <f t="shared" si="9"/>
        <v>-3280923</v>
      </c>
      <c r="T38" s="216">
        <f t="shared" si="9"/>
        <v>171719077</v>
      </c>
      <c r="U38" s="217">
        <f t="shared" si="9"/>
        <v>184000000</v>
      </c>
      <c r="V38" s="216">
        <f t="shared" si="9"/>
        <v>190000000</v>
      </c>
      <c r="W38" s="215">
        <f t="shared" si="9"/>
        <v>0</v>
      </c>
      <c r="X38" s="215">
        <f t="shared" si="9"/>
        <v>0</v>
      </c>
      <c r="Y38" s="216">
        <f t="shared" si="9"/>
        <v>184000000</v>
      </c>
      <c r="Z38" s="217">
        <f t="shared" si="9"/>
        <v>190000000</v>
      </c>
      <c r="AA38" s="216">
        <f t="shared" si="9"/>
        <v>0</v>
      </c>
      <c r="AB38" s="216">
        <f t="shared" si="9"/>
        <v>190000000</v>
      </c>
    </row>
    <row r="39" spans="1:28" s="2" customFormat="1" ht="21.75" customHeight="1" x14ac:dyDescent="0.2">
      <c r="A39" s="212" t="s">
        <v>22</v>
      </c>
      <c r="B39" s="58" t="s">
        <v>108</v>
      </c>
      <c r="C39" s="58" t="s">
        <v>74</v>
      </c>
      <c r="D39" s="58" t="s">
        <v>69</v>
      </c>
      <c r="E39" s="117" t="s">
        <v>1</v>
      </c>
      <c r="F39" s="73" t="s">
        <v>135</v>
      </c>
      <c r="G39" s="66" t="s">
        <v>135</v>
      </c>
      <c r="H39" s="66" t="s">
        <v>135</v>
      </c>
      <c r="I39" s="74" t="s">
        <v>279</v>
      </c>
      <c r="J39" s="67" t="s">
        <v>135</v>
      </c>
      <c r="K39" s="372" t="s">
        <v>23</v>
      </c>
      <c r="L39" s="68">
        <v>135143500</v>
      </c>
      <c r="M39" s="69">
        <v>0</v>
      </c>
      <c r="N39" s="216">
        <v>175000000</v>
      </c>
      <c r="O39" s="216">
        <v>0</v>
      </c>
      <c r="P39" s="216">
        <v>175000000</v>
      </c>
      <c r="Q39" s="215">
        <v>184000000</v>
      </c>
      <c r="R39" s="216">
        <v>0</v>
      </c>
      <c r="S39" s="216">
        <v>-3280923</v>
      </c>
      <c r="T39" s="216">
        <f>S39+P39</f>
        <v>171719077</v>
      </c>
      <c r="U39" s="217">
        <v>184000000</v>
      </c>
      <c r="V39" s="216">
        <v>190000000</v>
      </c>
      <c r="W39" s="215">
        <v>0</v>
      </c>
      <c r="X39" s="215">
        <v>0</v>
      </c>
      <c r="Y39" s="216">
        <v>184000000</v>
      </c>
      <c r="Z39" s="217">
        <v>190000000</v>
      </c>
      <c r="AA39" s="216">
        <v>0</v>
      </c>
      <c r="AB39" s="216">
        <v>190000000</v>
      </c>
    </row>
    <row r="40" spans="1:28" s="2" customFormat="1" ht="72" customHeight="1" x14ac:dyDescent="0.2">
      <c r="A40" s="212" t="s">
        <v>347</v>
      </c>
      <c r="B40" s="58" t="s">
        <v>108</v>
      </c>
      <c r="C40" s="58" t="s">
        <v>74</v>
      </c>
      <c r="D40" s="58" t="s">
        <v>69</v>
      </c>
      <c r="E40" s="117" t="s">
        <v>1</v>
      </c>
      <c r="F40" s="73" t="s">
        <v>135</v>
      </c>
      <c r="G40" s="66" t="s">
        <v>135</v>
      </c>
      <c r="H40" s="66" t="s">
        <v>135</v>
      </c>
      <c r="I40" s="74" t="s">
        <v>389</v>
      </c>
      <c r="J40" s="67" t="s">
        <v>135</v>
      </c>
      <c r="K40" s="372"/>
      <c r="L40" s="68">
        <f t="shared" si="9"/>
        <v>135143500</v>
      </c>
      <c r="M40" s="69">
        <f t="shared" si="9"/>
        <v>0</v>
      </c>
      <c r="N40" s="216">
        <f t="shared" si="9"/>
        <v>175000000</v>
      </c>
      <c r="O40" s="216">
        <f t="shared" si="9"/>
        <v>0</v>
      </c>
      <c r="P40" s="216">
        <f t="shared" si="9"/>
        <v>1234100</v>
      </c>
      <c r="Q40" s="215">
        <f t="shared" si="9"/>
        <v>184000000</v>
      </c>
      <c r="R40" s="216">
        <f t="shared" si="9"/>
        <v>0</v>
      </c>
      <c r="S40" s="216">
        <f t="shared" si="9"/>
        <v>675900</v>
      </c>
      <c r="T40" s="216">
        <f t="shared" si="9"/>
        <v>1910000</v>
      </c>
      <c r="U40" s="217">
        <f t="shared" si="9"/>
        <v>0</v>
      </c>
      <c r="V40" s="216">
        <f t="shared" si="9"/>
        <v>190000000</v>
      </c>
      <c r="W40" s="215">
        <f t="shared" si="9"/>
        <v>0</v>
      </c>
      <c r="X40" s="215">
        <f t="shared" si="9"/>
        <v>0</v>
      </c>
      <c r="Y40" s="216">
        <f t="shared" si="9"/>
        <v>0</v>
      </c>
      <c r="Z40" s="217">
        <f t="shared" si="9"/>
        <v>0</v>
      </c>
      <c r="AA40" s="216">
        <f t="shared" si="9"/>
        <v>0</v>
      </c>
      <c r="AB40" s="216">
        <f t="shared" si="9"/>
        <v>0</v>
      </c>
    </row>
    <row r="41" spans="1:28" s="2" customFormat="1" ht="21.75" customHeight="1" x14ac:dyDescent="0.2">
      <c r="A41" s="212" t="s">
        <v>21</v>
      </c>
      <c r="B41" s="58" t="s">
        <v>108</v>
      </c>
      <c r="C41" s="58" t="s">
        <v>74</v>
      </c>
      <c r="D41" s="58" t="s">
        <v>69</v>
      </c>
      <c r="E41" s="117" t="s">
        <v>1</v>
      </c>
      <c r="F41" s="73" t="s">
        <v>135</v>
      </c>
      <c r="G41" s="66" t="s">
        <v>135</v>
      </c>
      <c r="H41" s="66" t="s">
        <v>135</v>
      </c>
      <c r="I41" s="74" t="s">
        <v>389</v>
      </c>
      <c r="J41" s="67" t="s">
        <v>135</v>
      </c>
      <c r="K41" s="372">
        <v>600</v>
      </c>
      <c r="L41" s="68">
        <f t="shared" si="9"/>
        <v>135143500</v>
      </c>
      <c r="M41" s="69">
        <f t="shared" si="9"/>
        <v>0</v>
      </c>
      <c r="N41" s="216">
        <f t="shared" si="9"/>
        <v>175000000</v>
      </c>
      <c r="O41" s="216">
        <f t="shared" si="9"/>
        <v>0</v>
      </c>
      <c r="P41" s="216">
        <f t="shared" si="9"/>
        <v>1234100</v>
      </c>
      <c r="Q41" s="215">
        <f t="shared" si="9"/>
        <v>184000000</v>
      </c>
      <c r="R41" s="216">
        <f t="shared" si="9"/>
        <v>0</v>
      </c>
      <c r="S41" s="216">
        <f t="shared" si="9"/>
        <v>675900</v>
      </c>
      <c r="T41" s="216">
        <f t="shared" si="9"/>
        <v>1910000</v>
      </c>
      <c r="U41" s="217">
        <f t="shared" si="9"/>
        <v>0</v>
      </c>
      <c r="V41" s="216">
        <f t="shared" si="9"/>
        <v>190000000</v>
      </c>
      <c r="W41" s="215">
        <f t="shared" si="9"/>
        <v>0</v>
      </c>
      <c r="X41" s="215">
        <f t="shared" si="9"/>
        <v>0</v>
      </c>
      <c r="Y41" s="216">
        <f t="shared" si="9"/>
        <v>0</v>
      </c>
      <c r="Z41" s="217">
        <f t="shared" si="9"/>
        <v>0</v>
      </c>
      <c r="AA41" s="216">
        <f t="shared" si="9"/>
        <v>0</v>
      </c>
      <c r="AB41" s="216">
        <f t="shared" si="9"/>
        <v>0</v>
      </c>
    </row>
    <row r="42" spans="1:28" s="2" customFormat="1" ht="21.75" customHeight="1" x14ac:dyDescent="0.2">
      <c r="A42" s="212" t="s">
        <v>22</v>
      </c>
      <c r="B42" s="58" t="s">
        <v>108</v>
      </c>
      <c r="C42" s="58" t="s">
        <v>74</v>
      </c>
      <c r="D42" s="58" t="s">
        <v>69</v>
      </c>
      <c r="E42" s="117" t="s">
        <v>1</v>
      </c>
      <c r="F42" s="73" t="s">
        <v>135</v>
      </c>
      <c r="G42" s="66" t="s">
        <v>135</v>
      </c>
      <c r="H42" s="66" t="s">
        <v>135</v>
      </c>
      <c r="I42" s="74" t="s">
        <v>389</v>
      </c>
      <c r="J42" s="67" t="s">
        <v>135</v>
      </c>
      <c r="K42" s="372" t="s">
        <v>23</v>
      </c>
      <c r="L42" s="68">
        <v>135143500</v>
      </c>
      <c r="M42" s="69">
        <v>0</v>
      </c>
      <c r="N42" s="216">
        <v>175000000</v>
      </c>
      <c r="O42" s="216">
        <v>0</v>
      </c>
      <c r="P42" s="216">
        <v>1234100</v>
      </c>
      <c r="Q42" s="215">
        <v>184000000</v>
      </c>
      <c r="R42" s="216">
        <v>0</v>
      </c>
      <c r="S42" s="216">
        <v>675900</v>
      </c>
      <c r="T42" s="216">
        <f>S42+P41</f>
        <v>1910000</v>
      </c>
      <c r="U42" s="217">
        <v>0</v>
      </c>
      <c r="V42" s="216">
        <v>190000000</v>
      </c>
      <c r="W42" s="215">
        <v>0</v>
      </c>
      <c r="X42" s="215">
        <v>0</v>
      </c>
      <c r="Y42" s="216">
        <v>0</v>
      </c>
      <c r="Z42" s="217">
        <v>0</v>
      </c>
      <c r="AA42" s="216">
        <v>0</v>
      </c>
      <c r="AB42" s="216">
        <v>0</v>
      </c>
    </row>
    <row r="43" spans="1:28" x14ac:dyDescent="0.2">
      <c r="A43" s="207" t="s">
        <v>90</v>
      </c>
      <c r="B43" s="58" t="s">
        <v>108</v>
      </c>
      <c r="C43" s="58" t="s">
        <v>74</v>
      </c>
      <c r="D43" s="58" t="s">
        <v>76</v>
      </c>
      <c r="E43" s="58"/>
      <c r="F43" s="60"/>
      <c r="G43" s="66"/>
      <c r="H43" s="66"/>
      <c r="I43" s="60"/>
      <c r="J43" s="76"/>
      <c r="K43" s="408"/>
      <c r="L43" s="64" t="e">
        <f t="shared" ref="L43:O43" si="10">L44</f>
        <v>#REF!</v>
      </c>
      <c r="M43" s="65" t="e">
        <f t="shared" si="10"/>
        <v>#REF!</v>
      </c>
      <c r="N43" s="224" t="e">
        <f t="shared" si="10"/>
        <v>#REF!</v>
      </c>
      <c r="O43" s="224" t="e">
        <f t="shared" si="10"/>
        <v>#REF!</v>
      </c>
      <c r="P43" s="224">
        <f>P44+P84</f>
        <v>868353410.44000006</v>
      </c>
      <c r="Q43" s="224">
        <f t="shared" ref="Q43:AB43" si="11">Q44+Q84</f>
        <v>1296323086.8699999</v>
      </c>
      <c r="R43" s="224">
        <f t="shared" si="11"/>
        <v>-4524262.76</v>
      </c>
      <c r="S43" s="224">
        <f t="shared" si="11"/>
        <v>4715463</v>
      </c>
      <c r="T43" s="224">
        <f t="shared" si="11"/>
        <v>873068873.44000006</v>
      </c>
      <c r="U43" s="225">
        <f t="shared" si="11"/>
        <v>922719322.30999994</v>
      </c>
      <c r="V43" s="224">
        <f t="shared" si="11"/>
        <v>1311169653.0600002</v>
      </c>
      <c r="W43" s="224">
        <f t="shared" si="11"/>
        <v>-5086341.8499999996</v>
      </c>
      <c r="X43" s="223">
        <f t="shared" si="11"/>
        <v>3017090.89</v>
      </c>
      <c r="Y43" s="224">
        <f t="shared" si="11"/>
        <v>925736413.19999993</v>
      </c>
      <c r="Z43" s="225">
        <f t="shared" si="11"/>
        <v>998375930.23000002</v>
      </c>
      <c r="AA43" s="224">
        <f t="shared" si="11"/>
        <v>4403581.28</v>
      </c>
      <c r="AB43" s="224">
        <f t="shared" si="11"/>
        <v>1002779511.51</v>
      </c>
    </row>
    <row r="44" spans="1:28" ht="25.5" x14ac:dyDescent="0.2">
      <c r="A44" s="212" t="s">
        <v>312</v>
      </c>
      <c r="B44" s="58" t="s">
        <v>108</v>
      </c>
      <c r="C44" s="58" t="s">
        <v>74</v>
      </c>
      <c r="D44" s="58" t="s">
        <v>76</v>
      </c>
      <c r="E44" s="103" t="s">
        <v>1</v>
      </c>
      <c r="F44" s="66" t="s">
        <v>135</v>
      </c>
      <c r="G44" s="66" t="s">
        <v>135</v>
      </c>
      <c r="H44" s="66" t="s">
        <v>135</v>
      </c>
      <c r="I44" s="66" t="s">
        <v>136</v>
      </c>
      <c r="J44" s="67" t="s">
        <v>135</v>
      </c>
      <c r="K44" s="309"/>
      <c r="L44" s="68" t="e">
        <f>L45+#REF!+L48+L78+#REF!+L66+L51+#REF!+#REF!+#REF!</f>
        <v>#REF!</v>
      </c>
      <c r="M44" s="69" t="e">
        <f>M45+#REF!+M48+M78+#REF!+M66+M51+#REF!+#REF!+#REF!</f>
        <v>#REF!</v>
      </c>
      <c r="N44" s="216" t="e">
        <f>N45+N48+N78+N66+N51+#REF!+N54+N57</f>
        <v>#REF!</v>
      </c>
      <c r="O44" s="216" t="e">
        <f>O45+O48+O78+O66+O51+#REF!+O54+O57</f>
        <v>#REF!</v>
      </c>
      <c r="P44" s="216">
        <f>P45+P48+P78+P66+P51+P54+P57+P69+P63+P75+P72+P81+P60</f>
        <v>868353410.44000006</v>
      </c>
      <c r="Q44" s="216">
        <f t="shared" ref="Q44:AB44" si="12">Q45+Q48+Q78+Q66+Q51+Q54+Q57+Q69+Q63+Q75+Q72+Q81+Q60</f>
        <v>1296323086.8699999</v>
      </c>
      <c r="R44" s="216">
        <f t="shared" si="12"/>
        <v>-4524262.76</v>
      </c>
      <c r="S44" s="216">
        <f t="shared" si="12"/>
        <v>4295463</v>
      </c>
      <c r="T44" s="216">
        <f t="shared" si="12"/>
        <v>872648873.44000006</v>
      </c>
      <c r="U44" s="217">
        <f t="shared" si="12"/>
        <v>922719322.30999994</v>
      </c>
      <c r="V44" s="216">
        <f t="shared" si="12"/>
        <v>1311169653.0600002</v>
      </c>
      <c r="W44" s="216">
        <f t="shared" si="12"/>
        <v>-5086341.8499999996</v>
      </c>
      <c r="X44" s="215">
        <f t="shared" si="12"/>
        <v>3017090.89</v>
      </c>
      <c r="Y44" s="216">
        <f t="shared" si="12"/>
        <v>925736413.19999993</v>
      </c>
      <c r="Z44" s="217">
        <f t="shared" si="12"/>
        <v>998375930.23000002</v>
      </c>
      <c r="AA44" s="216">
        <f t="shared" si="12"/>
        <v>4403581.28</v>
      </c>
      <c r="AB44" s="216">
        <f t="shared" si="12"/>
        <v>1002779511.51</v>
      </c>
    </row>
    <row r="45" spans="1:28" x14ac:dyDescent="0.2">
      <c r="A45" s="212" t="s">
        <v>129</v>
      </c>
      <c r="B45" s="58" t="s">
        <v>108</v>
      </c>
      <c r="C45" s="58" t="s">
        <v>74</v>
      </c>
      <c r="D45" s="58" t="s">
        <v>76</v>
      </c>
      <c r="E45" s="103" t="s">
        <v>1</v>
      </c>
      <c r="F45" s="66" t="s">
        <v>135</v>
      </c>
      <c r="G45" s="66" t="s">
        <v>135</v>
      </c>
      <c r="H45" s="66" t="s">
        <v>135</v>
      </c>
      <c r="I45" s="66" t="s">
        <v>0</v>
      </c>
      <c r="J45" s="67" t="s">
        <v>135</v>
      </c>
      <c r="K45" s="309"/>
      <c r="L45" s="68">
        <f t="shared" ref="L45:AB46" si="13">L46</f>
        <v>6401169</v>
      </c>
      <c r="M45" s="69">
        <f t="shared" si="13"/>
        <v>0</v>
      </c>
      <c r="N45" s="216">
        <f t="shared" si="13"/>
        <v>0</v>
      </c>
      <c r="O45" s="216">
        <f t="shared" si="13"/>
        <v>0</v>
      </c>
      <c r="P45" s="216">
        <f t="shared" si="13"/>
        <v>0</v>
      </c>
      <c r="Q45" s="215">
        <f t="shared" si="13"/>
        <v>35214600</v>
      </c>
      <c r="R45" s="216">
        <f t="shared" si="13"/>
        <v>0</v>
      </c>
      <c r="S45" s="216">
        <f t="shared" si="13"/>
        <v>228060</v>
      </c>
      <c r="T45" s="216">
        <f t="shared" si="13"/>
        <v>228060</v>
      </c>
      <c r="U45" s="217">
        <f t="shared" si="13"/>
        <v>35214600</v>
      </c>
      <c r="V45" s="216">
        <f t="shared" si="13"/>
        <v>21164200</v>
      </c>
      <c r="W45" s="215">
        <f t="shared" si="13"/>
        <v>0</v>
      </c>
      <c r="X45" s="215">
        <f t="shared" si="13"/>
        <v>0</v>
      </c>
      <c r="Y45" s="216">
        <f t="shared" si="13"/>
        <v>35214600</v>
      </c>
      <c r="Z45" s="217">
        <f t="shared" si="13"/>
        <v>21164200</v>
      </c>
      <c r="AA45" s="216">
        <f t="shared" si="13"/>
        <v>0</v>
      </c>
      <c r="AB45" s="216">
        <f t="shared" si="13"/>
        <v>21164200</v>
      </c>
    </row>
    <row r="46" spans="1:28" ht="25.5" x14ac:dyDescent="0.2">
      <c r="A46" s="212" t="s">
        <v>21</v>
      </c>
      <c r="B46" s="58" t="s">
        <v>108</v>
      </c>
      <c r="C46" s="58" t="s">
        <v>74</v>
      </c>
      <c r="D46" s="58" t="s">
        <v>76</v>
      </c>
      <c r="E46" s="103" t="s">
        <v>1</v>
      </c>
      <c r="F46" s="70" t="s">
        <v>135</v>
      </c>
      <c r="G46" s="66" t="s">
        <v>135</v>
      </c>
      <c r="H46" s="66" t="s">
        <v>135</v>
      </c>
      <c r="I46" s="71" t="s">
        <v>0</v>
      </c>
      <c r="J46" s="67" t="s">
        <v>135</v>
      </c>
      <c r="K46" s="372">
        <v>600</v>
      </c>
      <c r="L46" s="68">
        <f t="shared" si="13"/>
        <v>6401169</v>
      </c>
      <c r="M46" s="69">
        <f t="shared" si="13"/>
        <v>0</v>
      </c>
      <c r="N46" s="216">
        <f t="shared" si="13"/>
        <v>0</v>
      </c>
      <c r="O46" s="216">
        <f t="shared" si="13"/>
        <v>0</v>
      </c>
      <c r="P46" s="216">
        <f t="shared" si="13"/>
        <v>0</v>
      </c>
      <c r="Q46" s="215">
        <f t="shared" si="13"/>
        <v>35214600</v>
      </c>
      <c r="R46" s="216">
        <f t="shared" si="13"/>
        <v>0</v>
      </c>
      <c r="S46" s="216">
        <f t="shared" si="13"/>
        <v>228060</v>
      </c>
      <c r="T46" s="216">
        <f t="shared" si="13"/>
        <v>228060</v>
      </c>
      <c r="U46" s="217">
        <f t="shared" si="13"/>
        <v>35214600</v>
      </c>
      <c r="V46" s="216">
        <f t="shared" si="13"/>
        <v>21164200</v>
      </c>
      <c r="W46" s="215">
        <f t="shared" si="13"/>
        <v>0</v>
      </c>
      <c r="X46" s="215">
        <f t="shared" si="13"/>
        <v>0</v>
      </c>
      <c r="Y46" s="216">
        <f t="shared" si="13"/>
        <v>35214600</v>
      </c>
      <c r="Z46" s="217">
        <f t="shared" si="13"/>
        <v>21164200</v>
      </c>
      <c r="AA46" s="216">
        <f t="shared" si="13"/>
        <v>0</v>
      </c>
      <c r="AB46" s="216">
        <f t="shared" si="13"/>
        <v>21164200</v>
      </c>
    </row>
    <row r="47" spans="1:28" x14ac:dyDescent="0.2">
      <c r="A47" s="212" t="s">
        <v>22</v>
      </c>
      <c r="B47" s="58" t="s">
        <v>108</v>
      </c>
      <c r="C47" s="58" t="s">
        <v>74</v>
      </c>
      <c r="D47" s="58" t="s">
        <v>76</v>
      </c>
      <c r="E47" s="103" t="s">
        <v>1</v>
      </c>
      <c r="F47" s="70" t="s">
        <v>135</v>
      </c>
      <c r="G47" s="66" t="s">
        <v>135</v>
      </c>
      <c r="H47" s="66" t="s">
        <v>135</v>
      </c>
      <c r="I47" s="71" t="s">
        <v>0</v>
      </c>
      <c r="J47" s="67" t="s">
        <v>135</v>
      </c>
      <c r="K47" s="372" t="s">
        <v>23</v>
      </c>
      <c r="L47" s="68">
        <f>120000+39400+71926+2724343+3445500</f>
        <v>6401169</v>
      </c>
      <c r="M47" s="69">
        <v>0</v>
      </c>
      <c r="N47" s="216">
        <v>0</v>
      </c>
      <c r="O47" s="216">
        <v>0</v>
      </c>
      <c r="P47" s="216">
        <v>0</v>
      </c>
      <c r="Q47" s="215">
        <f>120000+39400+348300+601200+176000+1000000+26601300+3696000+1535400+1097000</f>
        <v>35214600</v>
      </c>
      <c r="R47" s="216">
        <v>0</v>
      </c>
      <c r="S47" s="216">
        <f>516060-288000</f>
        <v>228060</v>
      </c>
      <c r="T47" s="216">
        <f>S47</f>
        <v>228060</v>
      </c>
      <c r="U47" s="217">
        <f>120000+39400+348300+601200+176000+1000000+26601300+3696000+1535400+1097000</f>
        <v>35214600</v>
      </c>
      <c r="V47" s="216">
        <f>120000+39400+348300+601200+176000+13672200+5150500+1056600</f>
        <v>21164200</v>
      </c>
      <c r="W47" s="215">
        <v>0</v>
      </c>
      <c r="X47" s="215">
        <v>0</v>
      </c>
      <c r="Y47" s="216">
        <f>120000+39400+348300+601200+176000+1000000+26601300+3696000+1535400+1097000</f>
        <v>35214600</v>
      </c>
      <c r="Z47" s="217">
        <f>120000+39400+348300+601200+176000+13672200+5150500+1056600</f>
        <v>21164200</v>
      </c>
      <c r="AA47" s="216">
        <v>0</v>
      </c>
      <c r="AB47" s="216">
        <f>120000+39400+348300+601200+176000+13672200+5150500+1056600</f>
        <v>21164200</v>
      </c>
    </row>
    <row r="48" spans="1:28" s="2" customFormat="1" ht="25.5" x14ac:dyDescent="0.2">
      <c r="A48" s="212" t="s">
        <v>147</v>
      </c>
      <c r="B48" s="58" t="s">
        <v>108</v>
      </c>
      <c r="C48" s="58" t="s">
        <v>74</v>
      </c>
      <c r="D48" s="58" t="s">
        <v>76</v>
      </c>
      <c r="E48" s="117" t="s">
        <v>1</v>
      </c>
      <c r="F48" s="73" t="s">
        <v>135</v>
      </c>
      <c r="G48" s="66" t="s">
        <v>135</v>
      </c>
      <c r="H48" s="66" t="s">
        <v>135</v>
      </c>
      <c r="I48" s="74" t="s">
        <v>148</v>
      </c>
      <c r="J48" s="67" t="s">
        <v>135</v>
      </c>
      <c r="K48" s="372"/>
      <c r="L48" s="68">
        <f t="shared" ref="L48:AB49" si="14">L49</f>
        <v>216164874</v>
      </c>
      <c r="M48" s="69">
        <f t="shared" si="14"/>
        <v>0</v>
      </c>
      <c r="N48" s="216">
        <f t="shared" si="14"/>
        <v>283404424.44</v>
      </c>
      <c r="O48" s="216">
        <f t="shared" si="14"/>
        <v>-109964.4</v>
      </c>
      <c r="P48" s="216">
        <f t="shared" si="14"/>
        <v>283191011.69999999</v>
      </c>
      <c r="Q48" s="215">
        <f t="shared" si="14"/>
        <v>286276517.44</v>
      </c>
      <c r="R48" s="216">
        <f t="shared" si="14"/>
        <v>-3421631.4</v>
      </c>
      <c r="S48" s="216">
        <f t="shared" si="14"/>
        <v>-516060</v>
      </c>
      <c r="T48" s="216">
        <f t="shared" si="14"/>
        <v>282674951.69999999</v>
      </c>
      <c r="U48" s="217">
        <f t="shared" si="14"/>
        <v>282854886.04000002</v>
      </c>
      <c r="V48" s="216">
        <f t="shared" si="14"/>
        <v>285824630.44</v>
      </c>
      <c r="W48" s="215">
        <f t="shared" si="14"/>
        <v>-3438406.4</v>
      </c>
      <c r="X48" s="215">
        <f t="shared" si="14"/>
        <v>0</v>
      </c>
      <c r="Y48" s="216">
        <f t="shared" si="14"/>
        <v>282854886.04000002</v>
      </c>
      <c r="Z48" s="217">
        <f t="shared" si="14"/>
        <v>282386224.04000002</v>
      </c>
      <c r="AA48" s="216">
        <f t="shared" si="14"/>
        <v>0</v>
      </c>
      <c r="AB48" s="216">
        <f t="shared" si="14"/>
        <v>282386224.04000002</v>
      </c>
    </row>
    <row r="49" spans="1:28" s="2" customFormat="1" ht="25.5" x14ac:dyDescent="0.2">
      <c r="A49" s="212" t="s">
        <v>21</v>
      </c>
      <c r="B49" s="58" t="s">
        <v>108</v>
      </c>
      <c r="C49" s="58" t="s">
        <v>74</v>
      </c>
      <c r="D49" s="58" t="s">
        <v>76</v>
      </c>
      <c r="E49" s="103" t="s">
        <v>1</v>
      </c>
      <c r="F49" s="70" t="s">
        <v>135</v>
      </c>
      <c r="G49" s="66" t="s">
        <v>135</v>
      </c>
      <c r="H49" s="66" t="s">
        <v>135</v>
      </c>
      <c r="I49" s="71" t="s">
        <v>148</v>
      </c>
      <c r="J49" s="67" t="s">
        <v>135</v>
      </c>
      <c r="K49" s="372">
        <v>600</v>
      </c>
      <c r="L49" s="68">
        <f t="shared" si="14"/>
        <v>216164874</v>
      </c>
      <c r="M49" s="69">
        <f t="shared" si="14"/>
        <v>0</v>
      </c>
      <c r="N49" s="216">
        <f t="shared" si="14"/>
        <v>283404424.44</v>
      </c>
      <c r="O49" s="216">
        <f t="shared" si="14"/>
        <v>-109964.4</v>
      </c>
      <c r="P49" s="216">
        <f t="shared" si="14"/>
        <v>283191011.69999999</v>
      </c>
      <c r="Q49" s="215">
        <f t="shared" si="14"/>
        <v>286276517.44</v>
      </c>
      <c r="R49" s="216">
        <f t="shared" si="14"/>
        <v>-3421631.4</v>
      </c>
      <c r="S49" s="216">
        <f t="shared" si="14"/>
        <v>-516060</v>
      </c>
      <c r="T49" s="216">
        <f t="shared" si="14"/>
        <v>282674951.69999999</v>
      </c>
      <c r="U49" s="217">
        <f t="shared" si="14"/>
        <v>282854886.04000002</v>
      </c>
      <c r="V49" s="216">
        <f t="shared" si="14"/>
        <v>285824630.44</v>
      </c>
      <c r="W49" s="215">
        <f t="shared" si="14"/>
        <v>-3438406.4</v>
      </c>
      <c r="X49" s="215">
        <f t="shared" si="14"/>
        <v>0</v>
      </c>
      <c r="Y49" s="216">
        <f t="shared" si="14"/>
        <v>282854886.04000002</v>
      </c>
      <c r="Z49" s="217">
        <f t="shared" si="14"/>
        <v>282386224.04000002</v>
      </c>
      <c r="AA49" s="216">
        <f t="shared" si="14"/>
        <v>0</v>
      </c>
      <c r="AB49" s="216">
        <f t="shared" si="14"/>
        <v>282386224.04000002</v>
      </c>
    </row>
    <row r="50" spans="1:28" s="2" customFormat="1" x14ac:dyDescent="0.2">
      <c r="A50" s="212" t="s">
        <v>22</v>
      </c>
      <c r="B50" s="58" t="s">
        <v>108</v>
      </c>
      <c r="C50" s="58" t="s">
        <v>74</v>
      </c>
      <c r="D50" s="58" t="s">
        <v>76</v>
      </c>
      <c r="E50" s="103" t="s">
        <v>1</v>
      </c>
      <c r="F50" s="70" t="s">
        <v>135</v>
      </c>
      <c r="G50" s="66" t="s">
        <v>135</v>
      </c>
      <c r="H50" s="66" t="s">
        <v>135</v>
      </c>
      <c r="I50" s="71" t="s">
        <v>148</v>
      </c>
      <c r="J50" s="67" t="s">
        <v>135</v>
      </c>
      <c r="K50" s="372" t="s">
        <v>23</v>
      </c>
      <c r="L50" s="68">
        <v>216164874</v>
      </c>
      <c r="M50" s="69">
        <v>0</v>
      </c>
      <c r="N50" s="216">
        <v>283404424.44</v>
      </c>
      <c r="O50" s="216">
        <v>-109964.4</v>
      </c>
      <c r="P50" s="216">
        <v>283191011.69999999</v>
      </c>
      <c r="Q50" s="215">
        <v>286276517.44</v>
      </c>
      <c r="R50" s="216">
        <v>-3421631.4</v>
      </c>
      <c r="S50" s="216">
        <v>-516060</v>
      </c>
      <c r="T50" s="216">
        <f>S50+P50</f>
        <v>282674951.69999999</v>
      </c>
      <c r="U50" s="217">
        <f>R50+Q50</f>
        <v>282854886.04000002</v>
      </c>
      <c r="V50" s="216">
        <v>285824630.44</v>
      </c>
      <c r="W50" s="215">
        <v>-3438406.4</v>
      </c>
      <c r="X50" s="215">
        <v>0</v>
      </c>
      <c r="Y50" s="216">
        <v>282854886.04000002</v>
      </c>
      <c r="Z50" s="217">
        <f>W50+V50</f>
        <v>282386224.04000002</v>
      </c>
      <c r="AA50" s="216">
        <v>0</v>
      </c>
      <c r="AB50" s="216">
        <v>282386224.04000002</v>
      </c>
    </row>
    <row r="51" spans="1:28" s="2" customFormat="1" ht="38.25" customHeight="1" x14ac:dyDescent="0.2">
      <c r="A51" s="207" t="s">
        <v>354</v>
      </c>
      <c r="B51" s="58" t="s">
        <v>108</v>
      </c>
      <c r="C51" s="58" t="s">
        <v>74</v>
      </c>
      <c r="D51" s="58" t="s">
        <v>76</v>
      </c>
      <c r="E51" s="103" t="s">
        <v>1</v>
      </c>
      <c r="F51" s="70" t="s">
        <v>135</v>
      </c>
      <c r="G51" s="66" t="s">
        <v>135</v>
      </c>
      <c r="H51" s="66" t="s">
        <v>135</v>
      </c>
      <c r="I51" s="71" t="s">
        <v>225</v>
      </c>
      <c r="J51" s="67" t="s">
        <v>135</v>
      </c>
      <c r="K51" s="372"/>
      <c r="L51" s="64">
        <f t="shared" ref="L51:AB52" si="15">L52</f>
        <v>216000</v>
      </c>
      <c r="M51" s="65">
        <f t="shared" si="15"/>
        <v>0</v>
      </c>
      <c r="N51" s="224">
        <f t="shared" si="15"/>
        <v>223000</v>
      </c>
      <c r="O51" s="224">
        <f t="shared" si="15"/>
        <v>0</v>
      </c>
      <c r="P51" s="224">
        <f t="shared" si="15"/>
        <v>223000</v>
      </c>
      <c r="Q51" s="223">
        <f t="shared" si="15"/>
        <v>223000</v>
      </c>
      <c r="R51" s="224">
        <f t="shared" si="15"/>
        <v>0</v>
      </c>
      <c r="S51" s="224">
        <f t="shared" si="15"/>
        <v>0</v>
      </c>
      <c r="T51" s="224">
        <f t="shared" si="15"/>
        <v>223000</v>
      </c>
      <c r="U51" s="225">
        <f t="shared" si="15"/>
        <v>223000</v>
      </c>
      <c r="V51" s="224">
        <f t="shared" si="15"/>
        <v>223000</v>
      </c>
      <c r="W51" s="223">
        <f t="shared" si="15"/>
        <v>0</v>
      </c>
      <c r="X51" s="223">
        <f t="shared" si="15"/>
        <v>0</v>
      </c>
      <c r="Y51" s="224">
        <f t="shared" si="15"/>
        <v>223000</v>
      </c>
      <c r="Z51" s="225">
        <f t="shared" si="15"/>
        <v>223000</v>
      </c>
      <c r="AA51" s="224">
        <f t="shared" si="15"/>
        <v>0</v>
      </c>
      <c r="AB51" s="224">
        <f t="shared" si="15"/>
        <v>223000</v>
      </c>
    </row>
    <row r="52" spans="1:28" s="2" customFormat="1" ht="25.5" x14ac:dyDescent="0.2">
      <c r="A52" s="212" t="s">
        <v>21</v>
      </c>
      <c r="B52" s="58" t="s">
        <v>108</v>
      </c>
      <c r="C52" s="58" t="s">
        <v>74</v>
      </c>
      <c r="D52" s="58" t="s">
        <v>76</v>
      </c>
      <c r="E52" s="103" t="s">
        <v>1</v>
      </c>
      <c r="F52" s="70" t="s">
        <v>135</v>
      </c>
      <c r="G52" s="66" t="s">
        <v>135</v>
      </c>
      <c r="H52" s="66" t="s">
        <v>135</v>
      </c>
      <c r="I52" s="71" t="s">
        <v>225</v>
      </c>
      <c r="J52" s="67" t="s">
        <v>135</v>
      </c>
      <c r="K52" s="372" t="s">
        <v>149</v>
      </c>
      <c r="L52" s="64">
        <f t="shared" si="15"/>
        <v>216000</v>
      </c>
      <c r="M52" s="65">
        <f t="shared" si="15"/>
        <v>0</v>
      </c>
      <c r="N52" s="224">
        <f t="shared" si="15"/>
        <v>223000</v>
      </c>
      <c r="O52" s="224">
        <f t="shared" si="15"/>
        <v>0</v>
      </c>
      <c r="P52" s="224">
        <f t="shared" si="15"/>
        <v>223000</v>
      </c>
      <c r="Q52" s="223">
        <f t="shared" si="15"/>
        <v>223000</v>
      </c>
      <c r="R52" s="224">
        <f t="shared" si="15"/>
        <v>0</v>
      </c>
      <c r="S52" s="224">
        <f t="shared" si="15"/>
        <v>0</v>
      </c>
      <c r="T52" s="224">
        <f t="shared" si="15"/>
        <v>223000</v>
      </c>
      <c r="U52" s="225">
        <f t="shared" si="15"/>
        <v>223000</v>
      </c>
      <c r="V52" s="224">
        <f t="shared" si="15"/>
        <v>223000</v>
      </c>
      <c r="W52" s="223">
        <f t="shared" si="15"/>
        <v>0</v>
      </c>
      <c r="X52" s="223">
        <f t="shared" si="15"/>
        <v>0</v>
      </c>
      <c r="Y52" s="224">
        <f t="shared" si="15"/>
        <v>223000</v>
      </c>
      <c r="Z52" s="225">
        <f t="shared" si="15"/>
        <v>223000</v>
      </c>
      <c r="AA52" s="224">
        <f t="shared" si="15"/>
        <v>0</v>
      </c>
      <c r="AB52" s="224">
        <f t="shared" si="15"/>
        <v>223000</v>
      </c>
    </row>
    <row r="53" spans="1:28" s="2" customFormat="1" x14ac:dyDescent="0.2">
      <c r="A53" s="212" t="s">
        <v>22</v>
      </c>
      <c r="B53" s="58" t="s">
        <v>108</v>
      </c>
      <c r="C53" s="58" t="s">
        <v>74</v>
      </c>
      <c r="D53" s="58" t="s">
        <v>76</v>
      </c>
      <c r="E53" s="103" t="s">
        <v>1</v>
      </c>
      <c r="F53" s="70" t="s">
        <v>135</v>
      </c>
      <c r="G53" s="66" t="s">
        <v>135</v>
      </c>
      <c r="H53" s="66" t="s">
        <v>135</v>
      </c>
      <c r="I53" s="71" t="s">
        <v>225</v>
      </c>
      <c r="J53" s="67" t="s">
        <v>135</v>
      </c>
      <c r="K53" s="372" t="s">
        <v>23</v>
      </c>
      <c r="L53" s="64">
        <v>216000</v>
      </c>
      <c r="M53" s="65">
        <v>0</v>
      </c>
      <c r="N53" s="224">
        <v>223000</v>
      </c>
      <c r="O53" s="224">
        <v>0</v>
      </c>
      <c r="P53" s="224">
        <v>223000</v>
      </c>
      <c r="Q53" s="223">
        <v>223000</v>
      </c>
      <c r="R53" s="224">
        <v>0</v>
      </c>
      <c r="S53" s="224">
        <v>0</v>
      </c>
      <c r="T53" s="224">
        <v>223000</v>
      </c>
      <c r="U53" s="225">
        <v>223000</v>
      </c>
      <c r="V53" s="224">
        <v>223000</v>
      </c>
      <c r="W53" s="223">
        <v>0</v>
      </c>
      <c r="X53" s="223">
        <v>0</v>
      </c>
      <c r="Y53" s="224">
        <v>223000</v>
      </c>
      <c r="Z53" s="225">
        <v>223000</v>
      </c>
      <c r="AA53" s="224">
        <v>0</v>
      </c>
      <c r="AB53" s="224">
        <v>223000</v>
      </c>
    </row>
    <row r="54" spans="1:28" s="2" customFormat="1" ht="89.25" x14ac:dyDescent="0.2">
      <c r="A54" s="207" t="s">
        <v>276</v>
      </c>
      <c r="B54" s="58" t="s">
        <v>108</v>
      </c>
      <c r="C54" s="58" t="s">
        <v>74</v>
      </c>
      <c r="D54" s="58" t="s">
        <v>76</v>
      </c>
      <c r="E54" s="103" t="s">
        <v>1</v>
      </c>
      <c r="F54" s="70" t="s">
        <v>135</v>
      </c>
      <c r="G54" s="66" t="s">
        <v>135</v>
      </c>
      <c r="H54" s="66" t="s">
        <v>135</v>
      </c>
      <c r="I54" s="71" t="s">
        <v>277</v>
      </c>
      <c r="J54" s="67" t="s">
        <v>135</v>
      </c>
      <c r="K54" s="372"/>
      <c r="L54" s="64">
        <f t="shared" ref="L54:AB55" si="16">L55</f>
        <v>31049218</v>
      </c>
      <c r="M54" s="65">
        <f t="shared" si="16"/>
        <v>0</v>
      </c>
      <c r="N54" s="224">
        <f>N55</f>
        <v>30097048.43</v>
      </c>
      <c r="O54" s="224">
        <f>O55</f>
        <v>0</v>
      </c>
      <c r="P54" s="224">
        <f>P55</f>
        <v>30097048.43</v>
      </c>
      <c r="Q54" s="223">
        <f t="shared" si="16"/>
        <v>31948927.77</v>
      </c>
      <c r="R54" s="224">
        <f t="shared" si="16"/>
        <v>0</v>
      </c>
      <c r="S54" s="224">
        <f>S55</f>
        <v>0</v>
      </c>
      <c r="T54" s="224">
        <f>T55</f>
        <v>30097048.43</v>
      </c>
      <c r="U54" s="225">
        <f t="shared" si="16"/>
        <v>31948927.77</v>
      </c>
      <c r="V54" s="224">
        <f t="shared" si="16"/>
        <v>31948906.43</v>
      </c>
      <c r="W54" s="223">
        <f t="shared" si="16"/>
        <v>0</v>
      </c>
      <c r="X54" s="223">
        <f t="shared" si="16"/>
        <v>0</v>
      </c>
      <c r="Y54" s="224">
        <f t="shared" si="16"/>
        <v>31948927.77</v>
      </c>
      <c r="Z54" s="225">
        <f t="shared" si="16"/>
        <v>31948906.43</v>
      </c>
      <c r="AA54" s="224">
        <f t="shared" si="16"/>
        <v>0</v>
      </c>
      <c r="AB54" s="224">
        <f t="shared" si="16"/>
        <v>31948906.43</v>
      </c>
    </row>
    <row r="55" spans="1:28" s="2" customFormat="1" ht="25.5" x14ac:dyDescent="0.2">
      <c r="A55" s="212" t="s">
        <v>21</v>
      </c>
      <c r="B55" s="58" t="s">
        <v>108</v>
      </c>
      <c r="C55" s="58" t="s">
        <v>74</v>
      </c>
      <c r="D55" s="58" t="s">
        <v>76</v>
      </c>
      <c r="E55" s="103" t="s">
        <v>1</v>
      </c>
      <c r="F55" s="70" t="s">
        <v>135</v>
      </c>
      <c r="G55" s="66" t="s">
        <v>135</v>
      </c>
      <c r="H55" s="66" t="s">
        <v>135</v>
      </c>
      <c r="I55" s="71" t="s">
        <v>277</v>
      </c>
      <c r="J55" s="67" t="s">
        <v>135</v>
      </c>
      <c r="K55" s="372" t="s">
        <v>149</v>
      </c>
      <c r="L55" s="64">
        <f t="shared" si="16"/>
        <v>31049218</v>
      </c>
      <c r="M55" s="65">
        <f t="shared" si="16"/>
        <v>0</v>
      </c>
      <c r="N55" s="224">
        <f t="shared" si="16"/>
        <v>30097048.43</v>
      </c>
      <c r="O55" s="224">
        <f t="shared" si="16"/>
        <v>0</v>
      </c>
      <c r="P55" s="224">
        <f t="shared" si="16"/>
        <v>30097048.43</v>
      </c>
      <c r="Q55" s="223">
        <f t="shared" si="16"/>
        <v>31948927.77</v>
      </c>
      <c r="R55" s="224">
        <f t="shared" si="16"/>
        <v>0</v>
      </c>
      <c r="S55" s="224">
        <f t="shared" si="16"/>
        <v>0</v>
      </c>
      <c r="T55" s="224">
        <f t="shared" si="16"/>
        <v>30097048.43</v>
      </c>
      <c r="U55" s="225">
        <f t="shared" si="16"/>
        <v>31948927.77</v>
      </c>
      <c r="V55" s="224">
        <f t="shared" si="16"/>
        <v>31948906.43</v>
      </c>
      <c r="W55" s="223">
        <f t="shared" si="16"/>
        <v>0</v>
      </c>
      <c r="X55" s="223">
        <f t="shared" si="16"/>
        <v>0</v>
      </c>
      <c r="Y55" s="224">
        <f t="shared" si="16"/>
        <v>31948927.77</v>
      </c>
      <c r="Z55" s="225">
        <f t="shared" si="16"/>
        <v>31948906.43</v>
      </c>
      <c r="AA55" s="224">
        <f t="shared" si="16"/>
        <v>0</v>
      </c>
      <c r="AB55" s="224">
        <f t="shared" si="16"/>
        <v>31948906.43</v>
      </c>
    </row>
    <row r="56" spans="1:28" s="2" customFormat="1" x14ac:dyDescent="0.2">
      <c r="A56" s="212" t="s">
        <v>22</v>
      </c>
      <c r="B56" s="58" t="s">
        <v>108</v>
      </c>
      <c r="C56" s="58" t="s">
        <v>74</v>
      </c>
      <c r="D56" s="58" t="s">
        <v>76</v>
      </c>
      <c r="E56" s="103" t="s">
        <v>1</v>
      </c>
      <c r="F56" s="70" t="s">
        <v>135</v>
      </c>
      <c r="G56" s="66" t="s">
        <v>135</v>
      </c>
      <c r="H56" s="66" t="s">
        <v>135</v>
      </c>
      <c r="I56" s="71" t="s">
        <v>277</v>
      </c>
      <c r="J56" s="67" t="s">
        <v>135</v>
      </c>
      <c r="K56" s="372" t="s">
        <v>23</v>
      </c>
      <c r="L56" s="64">
        <v>31049218</v>
      </c>
      <c r="M56" s="65">
        <v>0</v>
      </c>
      <c r="N56" s="224">
        <v>30097048.43</v>
      </c>
      <c r="O56" s="224">
        <v>0</v>
      </c>
      <c r="P56" s="224">
        <v>30097048.43</v>
      </c>
      <c r="Q56" s="223">
        <v>31948927.77</v>
      </c>
      <c r="R56" s="224">
        <v>0</v>
      </c>
      <c r="S56" s="224">
        <v>0</v>
      </c>
      <c r="T56" s="224">
        <v>30097048.43</v>
      </c>
      <c r="U56" s="225">
        <v>31948927.77</v>
      </c>
      <c r="V56" s="224">
        <v>31948906.43</v>
      </c>
      <c r="W56" s="223">
        <v>0</v>
      </c>
      <c r="X56" s="223">
        <v>0</v>
      </c>
      <c r="Y56" s="224">
        <v>31948927.77</v>
      </c>
      <c r="Z56" s="225">
        <v>31948906.43</v>
      </c>
      <c r="AA56" s="224">
        <v>0</v>
      </c>
      <c r="AB56" s="224">
        <v>31948906.43</v>
      </c>
    </row>
    <row r="57" spans="1:28" s="2" customFormat="1" ht="38.25" x14ac:dyDescent="0.2">
      <c r="A57" s="212" t="s">
        <v>280</v>
      </c>
      <c r="B57" s="58" t="s">
        <v>108</v>
      </c>
      <c r="C57" s="58" t="s">
        <v>74</v>
      </c>
      <c r="D57" s="58" t="s">
        <v>76</v>
      </c>
      <c r="E57" s="117" t="s">
        <v>1</v>
      </c>
      <c r="F57" s="73" t="s">
        <v>135</v>
      </c>
      <c r="G57" s="66" t="s">
        <v>135</v>
      </c>
      <c r="H57" s="66" t="s">
        <v>135</v>
      </c>
      <c r="I57" s="74" t="s">
        <v>279</v>
      </c>
      <c r="J57" s="67" t="s">
        <v>135</v>
      </c>
      <c r="K57" s="372"/>
      <c r="L57" s="68">
        <f t="shared" ref="L57:AB58" si="17">L58</f>
        <v>391300000</v>
      </c>
      <c r="M57" s="69">
        <f t="shared" si="17"/>
        <v>0</v>
      </c>
      <c r="N57" s="216">
        <f t="shared" si="17"/>
        <v>505271700</v>
      </c>
      <c r="O57" s="216">
        <f t="shared" si="17"/>
        <v>0</v>
      </c>
      <c r="P57" s="216">
        <f t="shared" si="17"/>
        <v>505271700</v>
      </c>
      <c r="Q57" s="215">
        <f t="shared" si="17"/>
        <v>533602300</v>
      </c>
      <c r="R57" s="216">
        <f t="shared" si="17"/>
        <v>0</v>
      </c>
      <c r="S57" s="216">
        <f t="shared" si="17"/>
        <v>9375923</v>
      </c>
      <c r="T57" s="216">
        <f t="shared" si="17"/>
        <v>514647623</v>
      </c>
      <c r="U57" s="217">
        <f t="shared" si="17"/>
        <v>533602300</v>
      </c>
      <c r="V57" s="216">
        <f t="shared" si="17"/>
        <v>550052800</v>
      </c>
      <c r="W57" s="215">
        <f t="shared" si="17"/>
        <v>0</v>
      </c>
      <c r="X57" s="215">
        <f t="shared" si="17"/>
        <v>0</v>
      </c>
      <c r="Y57" s="216">
        <f t="shared" si="17"/>
        <v>533602300</v>
      </c>
      <c r="Z57" s="217">
        <f t="shared" si="17"/>
        <v>550052800</v>
      </c>
      <c r="AA57" s="216">
        <f t="shared" si="17"/>
        <v>0</v>
      </c>
      <c r="AB57" s="216">
        <f t="shared" si="17"/>
        <v>550052800</v>
      </c>
    </row>
    <row r="58" spans="1:28" s="2" customFormat="1" ht="25.5" x14ac:dyDescent="0.2">
      <c r="A58" s="212" t="s">
        <v>21</v>
      </c>
      <c r="B58" s="58" t="s">
        <v>108</v>
      </c>
      <c r="C58" s="58" t="s">
        <v>74</v>
      </c>
      <c r="D58" s="58" t="s">
        <v>76</v>
      </c>
      <c r="E58" s="117" t="s">
        <v>1</v>
      </c>
      <c r="F58" s="73" t="s">
        <v>135</v>
      </c>
      <c r="G58" s="66" t="s">
        <v>135</v>
      </c>
      <c r="H58" s="66" t="s">
        <v>135</v>
      </c>
      <c r="I58" s="74" t="s">
        <v>279</v>
      </c>
      <c r="J58" s="67" t="s">
        <v>135</v>
      </c>
      <c r="K58" s="372">
        <v>600</v>
      </c>
      <c r="L58" s="68">
        <f t="shared" si="17"/>
        <v>391300000</v>
      </c>
      <c r="M58" s="69">
        <f t="shared" si="17"/>
        <v>0</v>
      </c>
      <c r="N58" s="216">
        <f t="shared" si="17"/>
        <v>505271700</v>
      </c>
      <c r="O58" s="216">
        <f t="shared" si="17"/>
        <v>0</v>
      </c>
      <c r="P58" s="216">
        <f t="shared" si="17"/>
        <v>505271700</v>
      </c>
      <c r="Q58" s="215">
        <f t="shared" si="17"/>
        <v>533602300</v>
      </c>
      <c r="R58" s="216">
        <f t="shared" si="17"/>
        <v>0</v>
      </c>
      <c r="S58" s="216">
        <f t="shared" si="17"/>
        <v>9375923</v>
      </c>
      <c r="T58" s="216">
        <f t="shared" si="17"/>
        <v>514647623</v>
      </c>
      <c r="U58" s="217">
        <f t="shared" si="17"/>
        <v>533602300</v>
      </c>
      <c r="V58" s="216">
        <f t="shared" si="17"/>
        <v>550052800</v>
      </c>
      <c r="W58" s="215">
        <f t="shared" si="17"/>
        <v>0</v>
      </c>
      <c r="X58" s="215">
        <f t="shared" si="17"/>
        <v>0</v>
      </c>
      <c r="Y58" s="216">
        <f t="shared" si="17"/>
        <v>533602300</v>
      </c>
      <c r="Z58" s="217">
        <f t="shared" si="17"/>
        <v>550052800</v>
      </c>
      <c r="AA58" s="216">
        <f t="shared" si="17"/>
        <v>0</v>
      </c>
      <c r="AB58" s="216">
        <f t="shared" si="17"/>
        <v>550052800</v>
      </c>
    </row>
    <row r="59" spans="1:28" s="2" customFormat="1" x14ac:dyDescent="0.2">
      <c r="A59" s="212" t="s">
        <v>22</v>
      </c>
      <c r="B59" s="58" t="s">
        <v>108</v>
      </c>
      <c r="C59" s="58" t="s">
        <v>74</v>
      </c>
      <c r="D59" s="58" t="s">
        <v>76</v>
      </c>
      <c r="E59" s="117" t="s">
        <v>1</v>
      </c>
      <c r="F59" s="73" t="s">
        <v>135</v>
      </c>
      <c r="G59" s="66" t="s">
        <v>135</v>
      </c>
      <c r="H59" s="66" t="s">
        <v>135</v>
      </c>
      <c r="I59" s="74" t="s">
        <v>279</v>
      </c>
      <c r="J59" s="67" t="s">
        <v>135</v>
      </c>
      <c r="K59" s="372" t="s">
        <v>23</v>
      </c>
      <c r="L59" s="68">
        <f>386000000+5300000</f>
        <v>391300000</v>
      </c>
      <c r="M59" s="69">
        <v>0</v>
      </c>
      <c r="N59" s="216">
        <f>497171700+8100000</f>
        <v>505271700</v>
      </c>
      <c r="O59" s="216">
        <v>0</v>
      </c>
      <c r="P59" s="216">
        <f>497171700+8100000</f>
        <v>505271700</v>
      </c>
      <c r="Q59" s="215">
        <f>525502300+8100000</f>
        <v>533602300</v>
      </c>
      <c r="R59" s="216">
        <v>0</v>
      </c>
      <c r="S59" s="216">
        <f>5580923-2300000+6095000</f>
        <v>9375923</v>
      </c>
      <c r="T59" s="216">
        <f>S59+P59</f>
        <v>514647623</v>
      </c>
      <c r="U59" s="217">
        <f>525502300+8100000</f>
        <v>533602300</v>
      </c>
      <c r="V59" s="216">
        <f>541952800+8100000</f>
        <v>550052800</v>
      </c>
      <c r="W59" s="215">
        <v>0</v>
      </c>
      <c r="X59" s="215">
        <v>0</v>
      </c>
      <c r="Y59" s="216">
        <f>525502300+8100000</f>
        <v>533602300</v>
      </c>
      <c r="Z59" s="217">
        <f>541952800+8100000</f>
        <v>550052800</v>
      </c>
      <c r="AA59" s="216">
        <v>0</v>
      </c>
      <c r="AB59" s="216">
        <f>541952800+8100000</f>
        <v>550052800</v>
      </c>
    </row>
    <row r="60" spans="1:28" s="2" customFormat="1" ht="94.5" customHeight="1" x14ac:dyDescent="0.2">
      <c r="A60" s="212" t="s">
        <v>453</v>
      </c>
      <c r="B60" s="58" t="s">
        <v>108</v>
      </c>
      <c r="C60" s="58" t="s">
        <v>74</v>
      </c>
      <c r="D60" s="58" t="s">
        <v>76</v>
      </c>
      <c r="E60" s="117" t="s">
        <v>1</v>
      </c>
      <c r="F60" s="73" t="s">
        <v>135</v>
      </c>
      <c r="G60" s="66" t="s">
        <v>135</v>
      </c>
      <c r="H60" s="66" t="s">
        <v>135</v>
      </c>
      <c r="I60" s="74" t="s">
        <v>450</v>
      </c>
      <c r="J60" s="67" t="s">
        <v>133</v>
      </c>
      <c r="K60" s="372"/>
      <c r="L60" s="68">
        <f t="shared" ref="L60:AB61" si="18">L61</f>
        <v>135143500</v>
      </c>
      <c r="M60" s="69">
        <f t="shared" si="18"/>
        <v>0</v>
      </c>
      <c r="N60" s="216">
        <f t="shared" si="18"/>
        <v>175000000</v>
      </c>
      <c r="O60" s="216">
        <f t="shared" si="18"/>
        <v>0</v>
      </c>
      <c r="P60" s="216">
        <f t="shared" si="18"/>
        <v>0</v>
      </c>
      <c r="Q60" s="215">
        <f t="shared" si="18"/>
        <v>184000000</v>
      </c>
      <c r="R60" s="216">
        <f t="shared" si="18"/>
        <v>0</v>
      </c>
      <c r="S60" s="216">
        <f t="shared" si="18"/>
        <v>0</v>
      </c>
      <c r="T60" s="216">
        <f t="shared" si="18"/>
        <v>0</v>
      </c>
      <c r="U60" s="217">
        <f t="shared" si="18"/>
        <v>0</v>
      </c>
      <c r="V60" s="216">
        <f t="shared" si="18"/>
        <v>190000000</v>
      </c>
      <c r="W60" s="215">
        <f t="shared" si="18"/>
        <v>0</v>
      </c>
      <c r="X60" s="215">
        <f t="shared" si="18"/>
        <v>699690.89</v>
      </c>
      <c r="Y60" s="216">
        <f t="shared" si="18"/>
        <v>699690.89</v>
      </c>
      <c r="Z60" s="217">
        <f t="shared" si="18"/>
        <v>0</v>
      </c>
      <c r="AA60" s="216">
        <f t="shared" si="18"/>
        <v>2086181.28</v>
      </c>
      <c r="AB60" s="216">
        <f t="shared" si="18"/>
        <v>2086181.28</v>
      </c>
    </row>
    <row r="61" spans="1:28" s="2" customFormat="1" ht="25.5" x14ac:dyDescent="0.2">
      <c r="A61" s="212" t="s">
        <v>21</v>
      </c>
      <c r="B61" s="58" t="s">
        <v>108</v>
      </c>
      <c r="C61" s="58" t="s">
        <v>74</v>
      </c>
      <c r="D61" s="58" t="s">
        <v>76</v>
      </c>
      <c r="E61" s="117" t="s">
        <v>1</v>
      </c>
      <c r="F61" s="73" t="s">
        <v>135</v>
      </c>
      <c r="G61" s="66" t="s">
        <v>135</v>
      </c>
      <c r="H61" s="66" t="s">
        <v>135</v>
      </c>
      <c r="I61" s="74" t="s">
        <v>450</v>
      </c>
      <c r="J61" s="67" t="s">
        <v>133</v>
      </c>
      <c r="K61" s="372">
        <v>600</v>
      </c>
      <c r="L61" s="68">
        <f t="shared" si="18"/>
        <v>135143500</v>
      </c>
      <c r="M61" s="69">
        <f t="shared" si="18"/>
        <v>0</v>
      </c>
      <c r="N61" s="216">
        <f t="shared" si="18"/>
        <v>175000000</v>
      </c>
      <c r="O61" s="216">
        <f t="shared" si="18"/>
        <v>0</v>
      </c>
      <c r="P61" s="216">
        <f t="shared" si="18"/>
        <v>0</v>
      </c>
      <c r="Q61" s="215">
        <f t="shared" si="18"/>
        <v>184000000</v>
      </c>
      <c r="R61" s="216">
        <f t="shared" si="18"/>
        <v>0</v>
      </c>
      <c r="S61" s="216">
        <f t="shared" si="18"/>
        <v>0</v>
      </c>
      <c r="T61" s="216">
        <f t="shared" si="18"/>
        <v>0</v>
      </c>
      <c r="U61" s="217">
        <f t="shared" si="18"/>
        <v>0</v>
      </c>
      <c r="V61" s="216">
        <f t="shared" si="18"/>
        <v>190000000</v>
      </c>
      <c r="W61" s="215">
        <f t="shared" si="18"/>
        <v>0</v>
      </c>
      <c r="X61" s="215">
        <f t="shared" si="18"/>
        <v>699690.89</v>
      </c>
      <c r="Y61" s="216">
        <f t="shared" si="18"/>
        <v>699690.89</v>
      </c>
      <c r="Z61" s="217">
        <f t="shared" si="18"/>
        <v>0</v>
      </c>
      <c r="AA61" s="216">
        <f t="shared" si="18"/>
        <v>2086181.28</v>
      </c>
      <c r="AB61" s="216">
        <f t="shared" si="18"/>
        <v>2086181.28</v>
      </c>
    </row>
    <row r="62" spans="1:28" s="2" customFormat="1" x14ac:dyDescent="0.2">
      <c r="A62" s="212" t="s">
        <v>22</v>
      </c>
      <c r="B62" s="58" t="s">
        <v>108</v>
      </c>
      <c r="C62" s="58" t="s">
        <v>74</v>
      </c>
      <c r="D62" s="58" t="s">
        <v>76</v>
      </c>
      <c r="E62" s="117" t="s">
        <v>1</v>
      </c>
      <c r="F62" s="73" t="s">
        <v>135</v>
      </c>
      <c r="G62" s="66" t="s">
        <v>135</v>
      </c>
      <c r="H62" s="66" t="s">
        <v>135</v>
      </c>
      <c r="I62" s="74" t="s">
        <v>450</v>
      </c>
      <c r="J62" s="67" t="s">
        <v>133</v>
      </c>
      <c r="K62" s="372" t="s">
        <v>23</v>
      </c>
      <c r="L62" s="68">
        <v>135143500</v>
      </c>
      <c r="M62" s="69">
        <v>0</v>
      </c>
      <c r="N62" s="216">
        <v>175000000</v>
      </c>
      <c r="O62" s="216">
        <v>0</v>
      </c>
      <c r="P62" s="216">
        <v>0</v>
      </c>
      <c r="Q62" s="215">
        <v>184000000</v>
      </c>
      <c r="R62" s="216">
        <v>0</v>
      </c>
      <c r="S62" s="216">
        <v>0</v>
      </c>
      <c r="T62" s="216">
        <f>S62+P62</f>
        <v>0</v>
      </c>
      <c r="U62" s="217">
        <v>0</v>
      </c>
      <c r="V62" s="216">
        <v>190000000</v>
      </c>
      <c r="W62" s="215">
        <v>0</v>
      </c>
      <c r="X62" s="215">
        <v>699690.89</v>
      </c>
      <c r="Y62" s="216">
        <f>X62</f>
        <v>699690.89</v>
      </c>
      <c r="Z62" s="217">
        <v>0</v>
      </c>
      <c r="AA62" s="216">
        <v>2086181.28</v>
      </c>
      <c r="AB62" s="216">
        <f>AA62</f>
        <v>2086181.28</v>
      </c>
    </row>
    <row r="63" spans="1:28" s="2" customFormat="1" ht="38.25" x14ac:dyDescent="0.2">
      <c r="A63" s="212" t="s">
        <v>347</v>
      </c>
      <c r="B63" s="58" t="s">
        <v>108</v>
      </c>
      <c r="C63" s="58" t="s">
        <v>74</v>
      </c>
      <c r="D63" s="58" t="s">
        <v>76</v>
      </c>
      <c r="E63" s="117" t="s">
        <v>1</v>
      </c>
      <c r="F63" s="73" t="s">
        <v>135</v>
      </c>
      <c r="G63" s="66" t="s">
        <v>135</v>
      </c>
      <c r="H63" s="66" t="s">
        <v>135</v>
      </c>
      <c r="I63" s="74" t="s">
        <v>389</v>
      </c>
      <c r="J63" s="67" t="s">
        <v>135</v>
      </c>
      <c r="K63" s="372"/>
      <c r="L63" s="68">
        <f t="shared" ref="L63:AB64" si="19">L64</f>
        <v>135143500</v>
      </c>
      <c r="M63" s="69">
        <f t="shared" si="19"/>
        <v>0</v>
      </c>
      <c r="N63" s="216">
        <f t="shared" si="19"/>
        <v>175000000</v>
      </c>
      <c r="O63" s="216">
        <f t="shared" si="19"/>
        <v>0</v>
      </c>
      <c r="P63" s="216">
        <f t="shared" si="19"/>
        <v>9932500</v>
      </c>
      <c r="Q63" s="215">
        <f t="shared" si="19"/>
        <v>184000000</v>
      </c>
      <c r="R63" s="216">
        <f t="shared" si="19"/>
        <v>0</v>
      </c>
      <c r="S63" s="216">
        <f t="shared" si="19"/>
        <v>-6593800</v>
      </c>
      <c r="T63" s="216">
        <f t="shared" si="19"/>
        <v>3338700</v>
      </c>
      <c r="U63" s="217">
        <f t="shared" si="19"/>
        <v>0</v>
      </c>
      <c r="V63" s="216">
        <f t="shared" si="19"/>
        <v>190000000</v>
      </c>
      <c r="W63" s="215">
        <f t="shared" si="19"/>
        <v>0</v>
      </c>
      <c r="X63" s="215">
        <f t="shared" si="19"/>
        <v>0</v>
      </c>
      <c r="Y63" s="216">
        <f t="shared" si="19"/>
        <v>0</v>
      </c>
      <c r="Z63" s="217">
        <f t="shared" si="19"/>
        <v>0</v>
      </c>
      <c r="AA63" s="216">
        <f t="shared" si="19"/>
        <v>0</v>
      </c>
      <c r="AB63" s="216">
        <f t="shared" si="19"/>
        <v>0</v>
      </c>
    </row>
    <row r="64" spans="1:28" s="2" customFormat="1" ht="25.5" x14ac:dyDescent="0.2">
      <c r="A64" s="212" t="s">
        <v>21</v>
      </c>
      <c r="B64" s="58" t="s">
        <v>108</v>
      </c>
      <c r="C64" s="58" t="s">
        <v>74</v>
      </c>
      <c r="D64" s="58" t="s">
        <v>76</v>
      </c>
      <c r="E64" s="117" t="s">
        <v>1</v>
      </c>
      <c r="F64" s="73" t="s">
        <v>135</v>
      </c>
      <c r="G64" s="66" t="s">
        <v>135</v>
      </c>
      <c r="H64" s="66" t="s">
        <v>135</v>
      </c>
      <c r="I64" s="74" t="s">
        <v>389</v>
      </c>
      <c r="J64" s="67" t="s">
        <v>135</v>
      </c>
      <c r="K64" s="372">
        <v>600</v>
      </c>
      <c r="L64" s="68">
        <f t="shared" si="19"/>
        <v>135143500</v>
      </c>
      <c r="M64" s="69">
        <f t="shared" si="19"/>
        <v>0</v>
      </c>
      <c r="N64" s="216">
        <f t="shared" si="19"/>
        <v>175000000</v>
      </c>
      <c r="O64" s="216">
        <f t="shared" si="19"/>
        <v>0</v>
      </c>
      <c r="P64" s="216">
        <f t="shared" si="19"/>
        <v>9932500</v>
      </c>
      <c r="Q64" s="215">
        <f t="shared" si="19"/>
        <v>184000000</v>
      </c>
      <c r="R64" s="216">
        <f t="shared" si="19"/>
        <v>0</v>
      </c>
      <c r="S64" s="216">
        <f t="shared" si="19"/>
        <v>-6593800</v>
      </c>
      <c r="T64" s="216">
        <f t="shared" si="19"/>
        <v>3338700</v>
      </c>
      <c r="U64" s="217">
        <f t="shared" si="19"/>
        <v>0</v>
      </c>
      <c r="V64" s="216">
        <f t="shared" si="19"/>
        <v>190000000</v>
      </c>
      <c r="W64" s="215">
        <f t="shared" si="19"/>
        <v>0</v>
      </c>
      <c r="X64" s="215">
        <f t="shared" si="19"/>
        <v>0</v>
      </c>
      <c r="Y64" s="216">
        <f t="shared" si="19"/>
        <v>0</v>
      </c>
      <c r="Z64" s="217">
        <f t="shared" si="19"/>
        <v>0</v>
      </c>
      <c r="AA64" s="216">
        <f t="shared" si="19"/>
        <v>0</v>
      </c>
      <c r="AB64" s="216">
        <f t="shared" si="19"/>
        <v>0</v>
      </c>
    </row>
    <row r="65" spans="1:28" s="2" customFormat="1" x14ac:dyDescent="0.2">
      <c r="A65" s="212" t="s">
        <v>22</v>
      </c>
      <c r="B65" s="58" t="s">
        <v>108</v>
      </c>
      <c r="C65" s="58" t="s">
        <v>74</v>
      </c>
      <c r="D65" s="58" t="s">
        <v>76</v>
      </c>
      <c r="E65" s="117" t="s">
        <v>1</v>
      </c>
      <c r="F65" s="73" t="s">
        <v>135</v>
      </c>
      <c r="G65" s="66" t="s">
        <v>135</v>
      </c>
      <c r="H65" s="66" t="s">
        <v>135</v>
      </c>
      <c r="I65" s="74" t="s">
        <v>389</v>
      </c>
      <c r="J65" s="67" t="s">
        <v>135</v>
      </c>
      <c r="K65" s="372" t="s">
        <v>23</v>
      </c>
      <c r="L65" s="68">
        <v>135143500</v>
      </c>
      <c r="M65" s="69">
        <v>0</v>
      </c>
      <c r="N65" s="216">
        <v>175000000</v>
      </c>
      <c r="O65" s="216">
        <v>0</v>
      </c>
      <c r="P65" s="216">
        <v>9932500</v>
      </c>
      <c r="Q65" s="215">
        <v>184000000</v>
      </c>
      <c r="R65" s="216">
        <v>0</v>
      </c>
      <c r="S65" s="216">
        <v>-6593800</v>
      </c>
      <c r="T65" s="216">
        <f>S65+P65</f>
        <v>3338700</v>
      </c>
      <c r="U65" s="217">
        <v>0</v>
      </c>
      <c r="V65" s="216">
        <v>190000000</v>
      </c>
      <c r="W65" s="215">
        <v>0</v>
      </c>
      <c r="X65" s="215">
        <v>0</v>
      </c>
      <c r="Y65" s="216">
        <v>0</v>
      </c>
      <c r="Z65" s="217">
        <v>0</v>
      </c>
      <c r="AA65" s="216">
        <v>0</v>
      </c>
      <c r="AB65" s="216">
        <v>0</v>
      </c>
    </row>
    <row r="66" spans="1:28" s="2" customFormat="1" ht="63.75" x14ac:dyDescent="0.2">
      <c r="A66" s="212" t="s">
        <v>278</v>
      </c>
      <c r="B66" s="58" t="s">
        <v>108</v>
      </c>
      <c r="C66" s="58" t="s">
        <v>74</v>
      </c>
      <c r="D66" s="58" t="s">
        <v>76</v>
      </c>
      <c r="E66" s="103" t="s">
        <v>1</v>
      </c>
      <c r="F66" s="70" t="s">
        <v>135</v>
      </c>
      <c r="G66" s="66" t="s">
        <v>135</v>
      </c>
      <c r="H66" s="66" t="s">
        <v>135</v>
      </c>
      <c r="I66" s="71" t="s">
        <v>223</v>
      </c>
      <c r="J66" s="67" t="s">
        <v>133</v>
      </c>
      <c r="K66" s="372"/>
      <c r="L66" s="68">
        <f t="shared" ref="L66:AB67" si="20">L67</f>
        <v>10533133.85</v>
      </c>
      <c r="M66" s="69">
        <f t="shared" si="20"/>
        <v>0</v>
      </c>
      <c r="N66" s="216">
        <f t="shared" si="20"/>
        <v>11588291.82</v>
      </c>
      <c r="O66" s="216">
        <f t="shared" si="20"/>
        <v>-938011.05</v>
      </c>
      <c r="P66" s="216">
        <f t="shared" si="20"/>
        <v>10650280.77</v>
      </c>
      <c r="Q66" s="68">
        <f t="shared" si="20"/>
        <v>11149665.060000001</v>
      </c>
      <c r="R66" s="215">
        <f t="shared" si="20"/>
        <v>-1429241.36</v>
      </c>
      <c r="S66" s="215">
        <f t="shared" si="20"/>
        <v>0</v>
      </c>
      <c r="T66" s="216">
        <f t="shared" si="20"/>
        <v>10650280.77</v>
      </c>
      <c r="U66" s="217">
        <f t="shared" si="20"/>
        <v>9720423.7000000011</v>
      </c>
      <c r="V66" s="217">
        <f t="shared" si="20"/>
        <v>12016699.83</v>
      </c>
      <c r="W66" s="215">
        <f t="shared" si="20"/>
        <v>-1811240.45</v>
      </c>
      <c r="X66" s="215">
        <f t="shared" si="20"/>
        <v>0</v>
      </c>
      <c r="Y66" s="216">
        <f t="shared" si="20"/>
        <v>9720423.6999999993</v>
      </c>
      <c r="Z66" s="217">
        <f t="shared" si="20"/>
        <v>10205459.380000001</v>
      </c>
      <c r="AA66" s="216">
        <f t="shared" si="20"/>
        <v>0</v>
      </c>
      <c r="AB66" s="216">
        <f t="shared" si="20"/>
        <v>10205459.380000001</v>
      </c>
    </row>
    <row r="67" spans="1:28" s="2" customFormat="1" ht="25.5" x14ac:dyDescent="0.2">
      <c r="A67" s="212" t="s">
        <v>21</v>
      </c>
      <c r="B67" s="58" t="s">
        <v>108</v>
      </c>
      <c r="C67" s="58" t="s">
        <v>74</v>
      </c>
      <c r="D67" s="58" t="s">
        <v>76</v>
      </c>
      <c r="E67" s="103" t="s">
        <v>1</v>
      </c>
      <c r="F67" s="70" t="s">
        <v>135</v>
      </c>
      <c r="G67" s="66" t="s">
        <v>135</v>
      </c>
      <c r="H67" s="66" t="s">
        <v>135</v>
      </c>
      <c r="I67" s="71" t="s">
        <v>223</v>
      </c>
      <c r="J67" s="67" t="s">
        <v>133</v>
      </c>
      <c r="K67" s="372" t="s">
        <v>149</v>
      </c>
      <c r="L67" s="68">
        <f t="shared" si="20"/>
        <v>10533133.85</v>
      </c>
      <c r="M67" s="69">
        <f t="shared" si="20"/>
        <v>0</v>
      </c>
      <c r="N67" s="216">
        <f t="shared" si="20"/>
        <v>11588291.82</v>
      </c>
      <c r="O67" s="215">
        <f t="shared" si="20"/>
        <v>-938011.05</v>
      </c>
      <c r="P67" s="216">
        <f t="shared" si="20"/>
        <v>10650280.77</v>
      </c>
      <c r="Q67" s="68">
        <f t="shared" si="20"/>
        <v>11149665.060000001</v>
      </c>
      <c r="R67" s="215">
        <f t="shared" si="20"/>
        <v>-1429241.36</v>
      </c>
      <c r="S67" s="215">
        <f t="shared" si="20"/>
        <v>0</v>
      </c>
      <c r="T67" s="216">
        <f t="shared" si="20"/>
        <v>10650280.77</v>
      </c>
      <c r="U67" s="217">
        <f t="shared" si="20"/>
        <v>9720423.7000000011</v>
      </c>
      <c r="V67" s="217">
        <f t="shared" si="20"/>
        <v>12016699.83</v>
      </c>
      <c r="W67" s="215">
        <f t="shared" si="20"/>
        <v>-1811240.45</v>
      </c>
      <c r="X67" s="215">
        <f t="shared" si="20"/>
        <v>0</v>
      </c>
      <c r="Y67" s="216">
        <f t="shared" si="20"/>
        <v>9720423.6999999993</v>
      </c>
      <c r="Z67" s="217">
        <f t="shared" si="20"/>
        <v>10205459.380000001</v>
      </c>
      <c r="AA67" s="216">
        <f t="shared" si="20"/>
        <v>0</v>
      </c>
      <c r="AB67" s="217">
        <f t="shared" si="20"/>
        <v>10205459.380000001</v>
      </c>
    </row>
    <row r="68" spans="1:28" s="2" customFormat="1" x14ac:dyDescent="0.2">
      <c r="A68" s="212" t="s">
        <v>22</v>
      </c>
      <c r="B68" s="58" t="s">
        <v>108</v>
      </c>
      <c r="C68" s="58" t="s">
        <v>74</v>
      </c>
      <c r="D68" s="58" t="s">
        <v>76</v>
      </c>
      <c r="E68" s="103" t="s">
        <v>1</v>
      </c>
      <c r="F68" s="70" t="s">
        <v>135</v>
      </c>
      <c r="G68" s="66" t="s">
        <v>135</v>
      </c>
      <c r="H68" s="66" t="s">
        <v>135</v>
      </c>
      <c r="I68" s="71" t="s">
        <v>223</v>
      </c>
      <c r="J68" s="67" t="s">
        <v>133</v>
      </c>
      <c r="K68" s="372" t="s">
        <v>23</v>
      </c>
      <c r="L68" s="68">
        <f>10483133.85+50000</f>
        <v>10533133.85</v>
      </c>
      <c r="M68" s="69">
        <v>0</v>
      </c>
      <c r="N68" s="216">
        <f>11538291.82+50000</f>
        <v>11588291.82</v>
      </c>
      <c r="O68" s="215">
        <v>-938011.05</v>
      </c>
      <c r="P68" s="216">
        <f>O68+N68</f>
        <v>10650280.77</v>
      </c>
      <c r="Q68" s="68">
        <f>11099665.06+50000</f>
        <v>11149665.060000001</v>
      </c>
      <c r="R68" s="215">
        <v>-1429241.36</v>
      </c>
      <c r="S68" s="216">
        <v>0</v>
      </c>
      <c r="T68" s="216">
        <v>10650280.77</v>
      </c>
      <c r="U68" s="217">
        <f>R68+Q68</f>
        <v>9720423.7000000011</v>
      </c>
      <c r="V68" s="217">
        <f>11966699.83+50000</f>
        <v>12016699.83</v>
      </c>
      <c r="W68" s="215">
        <v>-1811240.45</v>
      </c>
      <c r="X68" s="215">
        <v>0</v>
      </c>
      <c r="Y68" s="216">
        <v>9720423.6999999993</v>
      </c>
      <c r="Z68" s="68">
        <f>W68+V68</f>
        <v>10205459.380000001</v>
      </c>
      <c r="AA68" s="216">
        <v>0</v>
      </c>
      <c r="AB68" s="217">
        <v>10205459.380000001</v>
      </c>
    </row>
    <row r="69" spans="1:28" s="2" customFormat="1" ht="51" x14ac:dyDescent="0.2">
      <c r="A69" s="212" t="s">
        <v>432</v>
      </c>
      <c r="B69" s="58" t="s">
        <v>108</v>
      </c>
      <c r="C69" s="58" t="s">
        <v>74</v>
      </c>
      <c r="D69" s="59" t="s">
        <v>76</v>
      </c>
      <c r="E69" s="66" t="s">
        <v>1</v>
      </c>
      <c r="F69" s="70" t="s">
        <v>135</v>
      </c>
      <c r="G69" s="66" t="s">
        <v>135</v>
      </c>
      <c r="H69" s="66" t="s">
        <v>135</v>
      </c>
      <c r="I69" s="71" t="s">
        <v>396</v>
      </c>
      <c r="J69" s="67" t="s">
        <v>133</v>
      </c>
      <c r="K69" s="208"/>
      <c r="L69" s="68"/>
      <c r="M69" s="69"/>
      <c r="N69" s="502">
        <f t="shared" ref="N69:AB70" si="21">N70</f>
        <v>74280525.409999996</v>
      </c>
      <c r="O69" s="69">
        <f t="shared" si="21"/>
        <v>0</v>
      </c>
      <c r="P69" s="216">
        <f t="shared" si="21"/>
        <v>0</v>
      </c>
      <c r="Q69" s="68">
        <f t="shared" si="21"/>
        <v>0</v>
      </c>
      <c r="R69" s="69">
        <f t="shared" si="21"/>
        <v>0</v>
      </c>
      <c r="S69" s="216">
        <f t="shared" si="21"/>
        <v>0</v>
      </c>
      <c r="T69" s="216">
        <f t="shared" si="21"/>
        <v>0</v>
      </c>
      <c r="U69" s="217">
        <f t="shared" si="21"/>
        <v>0</v>
      </c>
      <c r="V69" s="498">
        <f t="shared" si="21"/>
        <v>0</v>
      </c>
      <c r="W69" s="215"/>
      <c r="X69" s="215">
        <f t="shared" si="21"/>
        <v>0</v>
      </c>
      <c r="Y69" s="216">
        <f t="shared" si="21"/>
        <v>0</v>
      </c>
      <c r="Z69" s="68">
        <f t="shared" si="21"/>
        <v>73387790.700000003</v>
      </c>
      <c r="AA69" s="216">
        <f t="shared" si="21"/>
        <v>0</v>
      </c>
      <c r="AB69" s="216">
        <f t="shared" si="21"/>
        <v>73387790.700000003</v>
      </c>
    </row>
    <row r="70" spans="1:28" s="2" customFormat="1" ht="25.5" x14ac:dyDescent="0.2">
      <c r="A70" s="362" t="s">
        <v>21</v>
      </c>
      <c r="B70" s="60" t="s">
        <v>108</v>
      </c>
      <c r="C70" s="58" t="s">
        <v>74</v>
      </c>
      <c r="D70" s="59" t="s">
        <v>76</v>
      </c>
      <c r="E70" s="66" t="s">
        <v>1</v>
      </c>
      <c r="F70" s="70" t="s">
        <v>135</v>
      </c>
      <c r="G70" s="66" t="s">
        <v>135</v>
      </c>
      <c r="H70" s="66" t="s">
        <v>135</v>
      </c>
      <c r="I70" s="71" t="s">
        <v>396</v>
      </c>
      <c r="J70" s="67" t="s">
        <v>133</v>
      </c>
      <c r="K70" s="208" t="s">
        <v>149</v>
      </c>
      <c r="L70" s="68"/>
      <c r="M70" s="69"/>
      <c r="N70" s="502">
        <f t="shared" si="21"/>
        <v>74280525.409999996</v>
      </c>
      <c r="O70" s="69">
        <f t="shared" si="21"/>
        <v>0</v>
      </c>
      <c r="P70" s="216">
        <f t="shared" si="21"/>
        <v>0</v>
      </c>
      <c r="Q70" s="68">
        <f t="shared" si="21"/>
        <v>0</v>
      </c>
      <c r="R70" s="69">
        <f t="shared" si="21"/>
        <v>0</v>
      </c>
      <c r="S70" s="216">
        <f t="shared" si="21"/>
        <v>0</v>
      </c>
      <c r="T70" s="216">
        <f t="shared" si="21"/>
        <v>0</v>
      </c>
      <c r="U70" s="217">
        <f t="shared" si="21"/>
        <v>0</v>
      </c>
      <c r="V70" s="498">
        <f t="shared" si="21"/>
        <v>0</v>
      </c>
      <c r="W70" s="215"/>
      <c r="X70" s="215">
        <f t="shared" si="21"/>
        <v>0</v>
      </c>
      <c r="Y70" s="216">
        <f t="shared" si="21"/>
        <v>0</v>
      </c>
      <c r="Z70" s="217">
        <f t="shared" si="21"/>
        <v>73387790.700000003</v>
      </c>
      <c r="AA70" s="216">
        <f t="shared" si="21"/>
        <v>0</v>
      </c>
      <c r="AB70" s="216">
        <f t="shared" si="21"/>
        <v>73387790.700000003</v>
      </c>
    </row>
    <row r="71" spans="1:28" s="2" customFormat="1" x14ac:dyDescent="0.2">
      <c r="A71" s="362" t="s">
        <v>22</v>
      </c>
      <c r="B71" s="60" t="s">
        <v>108</v>
      </c>
      <c r="C71" s="58" t="s">
        <v>74</v>
      </c>
      <c r="D71" s="59" t="s">
        <v>76</v>
      </c>
      <c r="E71" s="66" t="s">
        <v>1</v>
      </c>
      <c r="F71" s="70" t="s">
        <v>135</v>
      </c>
      <c r="G71" s="66" t="s">
        <v>135</v>
      </c>
      <c r="H71" s="66" t="s">
        <v>135</v>
      </c>
      <c r="I71" s="71" t="s">
        <v>396</v>
      </c>
      <c r="J71" s="67" t="s">
        <v>133</v>
      </c>
      <c r="K71" s="208" t="s">
        <v>23</v>
      </c>
      <c r="L71" s="68"/>
      <c r="M71" s="69"/>
      <c r="N71" s="502">
        <v>74280525.409999996</v>
      </c>
      <c r="O71" s="69">
        <v>0</v>
      </c>
      <c r="P71" s="216">
        <v>0</v>
      </c>
      <c r="Q71" s="68">
        <v>0</v>
      </c>
      <c r="R71" s="69">
        <v>0</v>
      </c>
      <c r="S71" s="216">
        <v>0</v>
      </c>
      <c r="T71" s="216">
        <v>0</v>
      </c>
      <c r="U71" s="217">
        <v>0</v>
      </c>
      <c r="V71" s="498">
        <v>0</v>
      </c>
      <c r="W71" s="215"/>
      <c r="X71" s="215">
        <v>0</v>
      </c>
      <c r="Y71" s="216">
        <v>0</v>
      </c>
      <c r="Z71" s="217">
        <v>73387790.700000003</v>
      </c>
      <c r="AA71" s="216">
        <v>0</v>
      </c>
      <c r="AB71" s="216">
        <v>73387790.700000003</v>
      </c>
    </row>
    <row r="72" spans="1:28" s="2" customFormat="1" ht="102" x14ac:dyDescent="0.2">
      <c r="A72" s="212" t="s">
        <v>273</v>
      </c>
      <c r="B72" s="58" t="s">
        <v>108</v>
      </c>
      <c r="C72" s="58" t="s">
        <v>74</v>
      </c>
      <c r="D72" s="58" t="s">
        <v>76</v>
      </c>
      <c r="E72" s="103" t="s">
        <v>1</v>
      </c>
      <c r="F72" s="66" t="s">
        <v>135</v>
      </c>
      <c r="G72" s="66" t="s">
        <v>135</v>
      </c>
      <c r="H72" s="66" t="s">
        <v>135</v>
      </c>
      <c r="I72" s="66" t="s">
        <v>420</v>
      </c>
      <c r="J72" s="67" t="s">
        <v>133</v>
      </c>
      <c r="K72" s="309"/>
      <c r="L72" s="68">
        <f t="shared" ref="L72:AB73" si="22">L73</f>
        <v>30041850</v>
      </c>
      <c r="M72" s="69">
        <f t="shared" si="22"/>
        <v>0</v>
      </c>
      <c r="N72" s="216">
        <f t="shared" si="22"/>
        <v>27919265</v>
      </c>
      <c r="O72" s="216">
        <f t="shared" si="22"/>
        <v>0</v>
      </c>
      <c r="P72" s="216">
        <f t="shared" si="22"/>
        <v>27919265</v>
      </c>
      <c r="Q72" s="215">
        <f t="shared" si="22"/>
        <v>27919265</v>
      </c>
      <c r="R72" s="216">
        <f t="shared" si="22"/>
        <v>326610</v>
      </c>
      <c r="S72" s="216">
        <f t="shared" si="22"/>
        <v>0</v>
      </c>
      <c r="T72" s="216">
        <f t="shared" si="22"/>
        <v>27919265</v>
      </c>
      <c r="U72" s="217">
        <f t="shared" si="22"/>
        <v>28245875</v>
      </c>
      <c r="V72" s="216">
        <f t="shared" si="22"/>
        <v>27919265</v>
      </c>
      <c r="W72" s="215">
        <f t="shared" si="22"/>
        <v>163305</v>
      </c>
      <c r="X72" s="215">
        <f t="shared" si="22"/>
        <v>0</v>
      </c>
      <c r="Y72" s="216">
        <f t="shared" si="22"/>
        <v>28245875</v>
      </c>
      <c r="Z72" s="217">
        <f t="shared" si="22"/>
        <v>28082570</v>
      </c>
      <c r="AA72" s="216">
        <f t="shared" si="22"/>
        <v>0</v>
      </c>
      <c r="AB72" s="216">
        <f t="shared" si="22"/>
        <v>28082570</v>
      </c>
    </row>
    <row r="73" spans="1:28" s="2" customFormat="1" ht="25.5" x14ac:dyDescent="0.2">
      <c r="A73" s="212" t="s">
        <v>21</v>
      </c>
      <c r="B73" s="58" t="s">
        <v>108</v>
      </c>
      <c r="C73" s="58" t="s">
        <v>74</v>
      </c>
      <c r="D73" s="58" t="s">
        <v>76</v>
      </c>
      <c r="E73" s="103" t="s">
        <v>1</v>
      </c>
      <c r="F73" s="66" t="s">
        <v>135</v>
      </c>
      <c r="G73" s="66" t="s">
        <v>135</v>
      </c>
      <c r="H73" s="66" t="s">
        <v>135</v>
      </c>
      <c r="I73" s="66" t="s">
        <v>420</v>
      </c>
      <c r="J73" s="67" t="s">
        <v>133</v>
      </c>
      <c r="K73" s="309" t="s">
        <v>149</v>
      </c>
      <c r="L73" s="68">
        <f t="shared" si="22"/>
        <v>30041850</v>
      </c>
      <c r="M73" s="69">
        <f t="shared" si="22"/>
        <v>0</v>
      </c>
      <c r="N73" s="216">
        <f t="shared" si="22"/>
        <v>27919265</v>
      </c>
      <c r="O73" s="216">
        <f t="shared" si="22"/>
        <v>0</v>
      </c>
      <c r="P73" s="216">
        <f t="shared" si="22"/>
        <v>27919265</v>
      </c>
      <c r="Q73" s="215">
        <f t="shared" si="22"/>
        <v>27919265</v>
      </c>
      <c r="R73" s="216">
        <f t="shared" si="22"/>
        <v>326610</v>
      </c>
      <c r="S73" s="216">
        <f t="shared" si="22"/>
        <v>0</v>
      </c>
      <c r="T73" s="216">
        <f t="shared" si="22"/>
        <v>27919265</v>
      </c>
      <c r="U73" s="217">
        <f t="shared" si="22"/>
        <v>28245875</v>
      </c>
      <c r="V73" s="216">
        <f t="shared" si="22"/>
        <v>27919265</v>
      </c>
      <c r="W73" s="215">
        <f t="shared" si="22"/>
        <v>163305</v>
      </c>
      <c r="X73" s="215">
        <f t="shared" si="22"/>
        <v>0</v>
      </c>
      <c r="Y73" s="216">
        <f t="shared" si="22"/>
        <v>28245875</v>
      </c>
      <c r="Z73" s="217">
        <f t="shared" si="22"/>
        <v>28082570</v>
      </c>
      <c r="AA73" s="216">
        <f t="shared" si="22"/>
        <v>0</v>
      </c>
      <c r="AB73" s="216">
        <f t="shared" si="22"/>
        <v>28082570</v>
      </c>
    </row>
    <row r="74" spans="1:28" s="2" customFormat="1" x14ac:dyDescent="0.2">
      <c r="A74" s="212" t="s">
        <v>22</v>
      </c>
      <c r="B74" s="58" t="s">
        <v>108</v>
      </c>
      <c r="C74" s="58" t="s">
        <v>74</v>
      </c>
      <c r="D74" s="58" t="s">
        <v>76</v>
      </c>
      <c r="E74" s="103" t="s">
        <v>1</v>
      </c>
      <c r="F74" s="66" t="s">
        <v>135</v>
      </c>
      <c r="G74" s="66" t="s">
        <v>135</v>
      </c>
      <c r="H74" s="66" t="s">
        <v>135</v>
      </c>
      <c r="I74" s="66" t="s">
        <v>420</v>
      </c>
      <c r="J74" s="67" t="s">
        <v>133</v>
      </c>
      <c r="K74" s="309" t="s">
        <v>23</v>
      </c>
      <c r="L74" s="68">
        <v>30041850</v>
      </c>
      <c r="M74" s="69">
        <v>0</v>
      </c>
      <c r="N74" s="216">
        <v>27919265</v>
      </c>
      <c r="O74" s="216">
        <v>0</v>
      </c>
      <c r="P74" s="216">
        <v>27919265</v>
      </c>
      <c r="Q74" s="215">
        <v>27919265</v>
      </c>
      <c r="R74" s="216">
        <v>326610</v>
      </c>
      <c r="S74" s="216">
        <v>0</v>
      </c>
      <c r="T74" s="216">
        <v>27919265</v>
      </c>
      <c r="U74" s="217">
        <v>28245875</v>
      </c>
      <c r="V74" s="216">
        <v>27919265</v>
      </c>
      <c r="W74" s="215">
        <v>163305</v>
      </c>
      <c r="X74" s="215">
        <v>0</v>
      </c>
      <c r="Y74" s="216">
        <v>28245875</v>
      </c>
      <c r="Z74" s="217">
        <v>28082570</v>
      </c>
      <c r="AA74" s="216">
        <v>0</v>
      </c>
      <c r="AB74" s="216">
        <v>28082570</v>
      </c>
    </row>
    <row r="75" spans="1:28" s="2" customFormat="1" ht="76.5" x14ac:dyDescent="0.2">
      <c r="A75" s="469" t="s">
        <v>430</v>
      </c>
      <c r="B75" s="60" t="s">
        <v>108</v>
      </c>
      <c r="C75" s="58" t="s">
        <v>74</v>
      </c>
      <c r="D75" s="59" t="s">
        <v>76</v>
      </c>
      <c r="E75" s="72" t="s">
        <v>1</v>
      </c>
      <c r="F75" s="66" t="s">
        <v>135</v>
      </c>
      <c r="G75" s="66" t="s">
        <v>135</v>
      </c>
      <c r="H75" s="66" t="s">
        <v>135</v>
      </c>
      <c r="I75" s="74" t="s">
        <v>399</v>
      </c>
      <c r="J75" s="67" t="s">
        <v>135</v>
      </c>
      <c r="K75" s="214"/>
      <c r="L75" s="68">
        <f t="shared" ref="L75:AA76" si="23">L76</f>
        <v>1208888</v>
      </c>
      <c r="M75" s="69">
        <f t="shared" si="23"/>
        <v>0</v>
      </c>
      <c r="N75" s="502">
        <f t="shared" si="23"/>
        <v>1202312</v>
      </c>
      <c r="O75" s="69">
        <f t="shared" si="23"/>
        <v>0</v>
      </c>
      <c r="P75" s="216">
        <f t="shared" si="23"/>
        <v>516060</v>
      </c>
      <c r="Q75" s="68">
        <f t="shared" si="23"/>
        <v>1202312</v>
      </c>
      <c r="R75" s="69">
        <f t="shared" si="23"/>
        <v>0</v>
      </c>
      <c r="S75" s="216">
        <f t="shared" si="23"/>
        <v>-516060</v>
      </c>
      <c r="T75" s="216">
        <f t="shared" si="23"/>
        <v>0</v>
      </c>
      <c r="U75" s="217">
        <f t="shared" si="23"/>
        <v>516060</v>
      </c>
      <c r="V75" s="68">
        <f t="shared" si="23"/>
        <v>1202312</v>
      </c>
      <c r="W75" s="69">
        <f t="shared" si="23"/>
        <v>0</v>
      </c>
      <c r="X75" s="215">
        <f t="shared" si="23"/>
        <v>0</v>
      </c>
      <c r="Y75" s="216">
        <f t="shared" si="23"/>
        <v>516060</v>
      </c>
      <c r="Z75" s="217">
        <f t="shared" si="23"/>
        <v>516060</v>
      </c>
      <c r="AA75" s="216">
        <f t="shared" si="23"/>
        <v>0</v>
      </c>
      <c r="AB75" s="216">
        <f t="shared" ref="Z75:AB76" si="24">AB76</f>
        <v>516060</v>
      </c>
    </row>
    <row r="76" spans="1:28" s="2" customFormat="1" ht="25.5" x14ac:dyDescent="0.2">
      <c r="A76" s="362" t="s">
        <v>21</v>
      </c>
      <c r="B76" s="60" t="s">
        <v>108</v>
      </c>
      <c r="C76" s="58" t="s">
        <v>74</v>
      </c>
      <c r="D76" s="59" t="s">
        <v>76</v>
      </c>
      <c r="E76" s="72" t="s">
        <v>1</v>
      </c>
      <c r="F76" s="66" t="s">
        <v>135</v>
      </c>
      <c r="G76" s="66" t="s">
        <v>135</v>
      </c>
      <c r="H76" s="66" t="s">
        <v>135</v>
      </c>
      <c r="I76" s="74" t="s">
        <v>399</v>
      </c>
      <c r="J76" s="67" t="s">
        <v>135</v>
      </c>
      <c r="K76" s="214" t="s">
        <v>149</v>
      </c>
      <c r="L76" s="68">
        <f t="shared" si="23"/>
        <v>1208888</v>
      </c>
      <c r="M76" s="69">
        <f t="shared" si="23"/>
        <v>0</v>
      </c>
      <c r="N76" s="502">
        <f t="shared" si="23"/>
        <v>1202312</v>
      </c>
      <c r="O76" s="69">
        <f t="shared" si="23"/>
        <v>0</v>
      </c>
      <c r="P76" s="216">
        <f t="shared" si="23"/>
        <v>516060</v>
      </c>
      <c r="Q76" s="68">
        <f t="shared" si="23"/>
        <v>1202312</v>
      </c>
      <c r="R76" s="69">
        <f t="shared" si="23"/>
        <v>0</v>
      </c>
      <c r="S76" s="216">
        <f t="shared" si="23"/>
        <v>-516060</v>
      </c>
      <c r="T76" s="216">
        <f t="shared" si="23"/>
        <v>0</v>
      </c>
      <c r="U76" s="217">
        <f t="shared" si="23"/>
        <v>516060</v>
      </c>
      <c r="V76" s="68">
        <f t="shared" si="23"/>
        <v>1202312</v>
      </c>
      <c r="W76" s="69">
        <f t="shared" si="23"/>
        <v>0</v>
      </c>
      <c r="X76" s="215">
        <f t="shared" si="23"/>
        <v>0</v>
      </c>
      <c r="Y76" s="216">
        <f t="shared" si="23"/>
        <v>516060</v>
      </c>
      <c r="Z76" s="217">
        <f t="shared" si="24"/>
        <v>516060</v>
      </c>
      <c r="AA76" s="216">
        <f t="shared" si="24"/>
        <v>0</v>
      </c>
      <c r="AB76" s="216">
        <f t="shared" si="24"/>
        <v>516060</v>
      </c>
    </row>
    <row r="77" spans="1:28" s="2" customFormat="1" x14ac:dyDescent="0.2">
      <c r="A77" s="362" t="s">
        <v>22</v>
      </c>
      <c r="B77" s="60" t="s">
        <v>108</v>
      </c>
      <c r="C77" s="58" t="s">
        <v>74</v>
      </c>
      <c r="D77" s="59" t="s">
        <v>76</v>
      </c>
      <c r="E77" s="72" t="s">
        <v>1</v>
      </c>
      <c r="F77" s="66" t="s">
        <v>135</v>
      </c>
      <c r="G77" s="66" t="s">
        <v>135</v>
      </c>
      <c r="H77" s="66" t="s">
        <v>135</v>
      </c>
      <c r="I77" s="74" t="s">
        <v>399</v>
      </c>
      <c r="J77" s="67" t="s">
        <v>135</v>
      </c>
      <c r="K77" s="214" t="s">
        <v>23</v>
      </c>
      <c r="L77" s="68">
        <f>604444+604444</f>
        <v>1208888</v>
      </c>
      <c r="M77" s="69">
        <v>0</v>
      </c>
      <c r="N77" s="502">
        <f>601156+601156</f>
        <v>1202312</v>
      </c>
      <c r="O77" s="69">
        <v>0</v>
      </c>
      <c r="P77" s="216">
        <v>516060</v>
      </c>
      <c r="Q77" s="68">
        <f>601156+601156</f>
        <v>1202312</v>
      </c>
      <c r="R77" s="69">
        <v>0</v>
      </c>
      <c r="S77" s="216">
        <v>-516060</v>
      </c>
      <c r="T77" s="216">
        <f>S77+P77</f>
        <v>0</v>
      </c>
      <c r="U77" s="217">
        <v>516060</v>
      </c>
      <c r="V77" s="68">
        <f>601156+601156</f>
        <v>1202312</v>
      </c>
      <c r="W77" s="69">
        <v>0</v>
      </c>
      <c r="X77" s="215">
        <v>0</v>
      </c>
      <c r="Y77" s="216">
        <f>U77</f>
        <v>516060</v>
      </c>
      <c r="Z77" s="217">
        <v>516060</v>
      </c>
      <c r="AA77" s="216">
        <v>0</v>
      </c>
      <c r="AB77" s="216">
        <f>Z77</f>
        <v>516060</v>
      </c>
    </row>
    <row r="78" spans="1:28" s="2" customFormat="1" ht="85.5" customHeight="1" x14ac:dyDescent="0.2">
      <c r="A78" s="469" t="s">
        <v>296</v>
      </c>
      <c r="B78" s="60" t="s">
        <v>108</v>
      </c>
      <c r="C78" s="58" t="s">
        <v>74</v>
      </c>
      <c r="D78" s="58" t="s">
        <v>76</v>
      </c>
      <c r="E78" s="117" t="s">
        <v>1</v>
      </c>
      <c r="F78" s="66" t="s">
        <v>135</v>
      </c>
      <c r="G78" s="66" t="s">
        <v>135</v>
      </c>
      <c r="H78" s="66" t="s">
        <v>135</v>
      </c>
      <c r="I78" s="74" t="s">
        <v>164</v>
      </c>
      <c r="J78" s="67" t="s">
        <v>135</v>
      </c>
      <c r="K78" s="214"/>
      <c r="L78" s="64">
        <f t="shared" ref="L78:AB82" si="25">L79</f>
        <v>297000</v>
      </c>
      <c r="M78" s="65">
        <f t="shared" si="25"/>
        <v>0</v>
      </c>
      <c r="N78" s="224">
        <f t="shared" si="25"/>
        <v>378116.54</v>
      </c>
      <c r="O78" s="223">
        <f t="shared" si="25"/>
        <v>0</v>
      </c>
      <c r="P78" s="224">
        <f t="shared" si="25"/>
        <v>378116.54</v>
      </c>
      <c r="Q78" s="64">
        <f t="shared" si="25"/>
        <v>393249.8</v>
      </c>
      <c r="R78" s="223">
        <f t="shared" si="25"/>
        <v>0</v>
      </c>
      <c r="S78" s="224">
        <f t="shared" si="25"/>
        <v>0</v>
      </c>
      <c r="T78" s="224">
        <f t="shared" si="25"/>
        <v>378116.54</v>
      </c>
      <c r="U78" s="225">
        <f t="shared" si="25"/>
        <v>393249.8</v>
      </c>
      <c r="V78" s="225">
        <f t="shared" si="25"/>
        <v>408919.68</v>
      </c>
      <c r="W78" s="223">
        <f t="shared" si="25"/>
        <v>0</v>
      </c>
      <c r="X78" s="223">
        <f t="shared" si="25"/>
        <v>0</v>
      </c>
      <c r="Y78" s="224">
        <f>Y79</f>
        <v>393249.8</v>
      </c>
      <c r="Z78" s="225">
        <f t="shared" si="25"/>
        <v>408919.68</v>
      </c>
      <c r="AA78" s="224">
        <f t="shared" si="25"/>
        <v>0</v>
      </c>
      <c r="AB78" s="224">
        <f t="shared" si="25"/>
        <v>408919.68</v>
      </c>
    </row>
    <row r="79" spans="1:28" s="2" customFormat="1" ht="25.5" x14ac:dyDescent="0.2">
      <c r="A79" s="212" t="s">
        <v>21</v>
      </c>
      <c r="B79" s="58" t="s">
        <v>108</v>
      </c>
      <c r="C79" s="58" t="s">
        <v>74</v>
      </c>
      <c r="D79" s="58" t="s">
        <v>76</v>
      </c>
      <c r="E79" s="117" t="s">
        <v>1</v>
      </c>
      <c r="F79" s="66" t="s">
        <v>135</v>
      </c>
      <c r="G79" s="66" t="s">
        <v>135</v>
      </c>
      <c r="H79" s="66" t="s">
        <v>135</v>
      </c>
      <c r="I79" s="74" t="s">
        <v>164</v>
      </c>
      <c r="J79" s="67" t="s">
        <v>135</v>
      </c>
      <c r="K79" s="309" t="s">
        <v>149</v>
      </c>
      <c r="L79" s="64">
        <f t="shared" si="25"/>
        <v>297000</v>
      </c>
      <c r="M79" s="65">
        <f t="shared" si="25"/>
        <v>0</v>
      </c>
      <c r="N79" s="224">
        <f t="shared" si="25"/>
        <v>378116.54</v>
      </c>
      <c r="O79" s="224">
        <f t="shared" si="25"/>
        <v>0</v>
      </c>
      <c r="P79" s="224">
        <f t="shared" si="25"/>
        <v>378116.54</v>
      </c>
      <c r="Q79" s="223">
        <f t="shared" si="25"/>
        <v>393249.8</v>
      </c>
      <c r="R79" s="223">
        <f t="shared" si="25"/>
        <v>0</v>
      </c>
      <c r="S79" s="224">
        <f t="shared" si="25"/>
        <v>0</v>
      </c>
      <c r="T79" s="224">
        <f t="shared" si="25"/>
        <v>378116.54</v>
      </c>
      <c r="U79" s="225">
        <f t="shared" si="25"/>
        <v>393249.8</v>
      </c>
      <c r="V79" s="224">
        <f t="shared" si="25"/>
        <v>408919.68</v>
      </c>
      <c r="W79" s="223">
        <f t="shared" si="25"/>
        <v>0</v>
      </c>
      <c r="X79" s="223">
        <f t="shared" si="25"/>
        <v>0</v>
      </c>
      <c r="Y79" s="224">
        <f t="shared" si="25"/>
        <v>393249.8</v>
      </c>
      <c r="Z79" s="225">
        <f t="shared" si="25"/>
        <v>408919.68</v>
      </c>
      <c r="AA79" s="224">
        <f t="shared" si="25"/>
        <v>0</v>
      </c>
      <c r="AB79" s="224">
        <f t="shared" si="25"/>
        <v>408919.68</v>
      </c>
    </row>
    <row r="80" spans="1:28" s="2" customFormat="1" x14ac:dyDescent="0.2">
      <c r="A80" s="212" t="s">
        <v>22</v>
      </c>
      <c r="B80" s="58" t="s">
        <v>108</v>
      </c>
      <c r="C80" s="58" t="s">
        <v>74</v>
      </c>
      <c r="D80" s="58" t="s">
        <v>76</v>
      </c>
      <c r="E80" s="117" t="s">
        <v>1</v>
      </c>
      <c r="F80" s="66" t="s">
        <v>135</v>
      </c>
      <c r="G80" s="66" t="s">
        <v>135</v>
      </c>
      <c r="H80" s="66" t="s">
        <v>135</v>
      </c>
      <c r="I80" s="74" t="s">
        <v>164</v>
      </c>
      <c r="J80" s="67" t="s">
        <v>135</v>
      </c>
      <c r="K80" s="309" t="s">
        <v>23</v>
      </c>
      <c r="L80" s="64">
        <f>148500+148500</f>
        <v>297000</v>
      </c>
      <c r="M80" s="65">
        <v>0</v>
      </c>
      <c r="N80" s="224">
        <f>189058.27+189058.27</f>
        <v>378116.54</v>
      </c>
      <c r="O80" s="224">
        <v>0</v>
      </c>
      <c r="P80" s="224">
        <f>189058.27+189058.27</f>
        <v>378116.54</v>
      </c>
      <c r="Q80" s="223">
        <f>196624.9+196624.9</f>
        <v>393249.8</v>
      </c>
      <c r="R80" s="223">
        <v>0</v>
      </c>
      <c r="S80" s="224">
        <v>0</v>
      </c>
      <c r="T80" s="224">
        <f>189058.27+189058.27</f>
        <v>378116.54</v>
      </c>
      <c r="U80" s="225">
        <f>196624.9+196624.9</f>
        <v>393249.8</v>
      </c>
      <c r="V80" s="224">
        <f>204459.84+204459.84</f>
        <v>408919.68</v>
      </c>
      <c r="W80" s="223">
        <v>0</v>
      </c>
      <c r="X80" s="223">
        <v>0</v>
      </c>
      <c r="Y80" s="224">
        <f>196624.9+196624.9</f>
        <v>393249.8</v>
      </c>
      <c r="Z80" s="225">
        <f>204459.84+204459.84</f>
        <v>408919.68</v>
      </c>
      <c r="AA80" s="224">
        <v>0</v>
      </c>
      <c r="AB80" s="225">
        <f>204459.84+204459.84</f>
        <v>408919.68</v>
      </c>
    </row>
    <row r="81" spans="1:30" s="2" customFormat="1" ht="63.75" x14ac:dyDescent="0.2">
      <c r="A81" s="469" t="s">
        <v>429</v>
      </c>
      <c r="B81" s="60" t="s">
        <v>108</v>
      </c>
      <c r="C81" s="58" t="s">
        <v>74</v>
      </c>
      <c r="D81" s="58" t="s">
        <v>76</v>
      </c>
      <c r="E81" s="117" t="s">
        <v>1</v>
      </c>
      <c r="F81" s="66" t="s">
        <v>135</v>
      </c>
      <c r="G81" s="66" t="s">
        <v>135</v>
      </c>
      <c r="H81" s="66" t="s">
        <v>135</v>
      </c>
      <c r="I81" s="74" t="s">
        <v>428</v>
      </c>
      <c r="J81" s="67" t="s">
        <v>135</v>
      </c>
      <c r="K81" s="214"/>
      <c r="L81" s="64">
        <f t="shared" si="25"/>
        <v>297000</v>
      </c>
      <c r="M81" s="65">
        <f t="shared" si="25"/>
        <v>0</v>
      </c>
      <c r="N81" s="224">
        <f t="shared" si="25"/>
        <v>378116.54</v>
      </c>
      <c r="O81" s="223">
        <f t="shared" si="25"/>
        <v>0</v>
      </c>
      <c r="P81" s="224">
        <f t="shared" si="25"/>
        <v>174428</v>
      </c>
      <c r="Q81" s="64">
        <f t="shared" si="25"/>
        <v>393249.8</v>
      </c>
      <c r="R81" s="223">
        <f t="shared" si="25"/>
        <v>0</v>
      </c>
      <c r="S81" s="223">
        <f t="shared" si="25"/>
        <v>2317400</v>
      </c>
      <c r="T81" s="224">
        <f t="shared" si="25"/>
        <v>2491828</v>
      </c>
      <c r="U81" s="225">
        <f t="shared" si="25"/>
        <v>0</v>
      </c>
      <c r="V81" s="225">
        <f t="shared" si="25"/>
        <v>408919.68</v>
      </c>
      <c r="W81" s="223">
        <f t="shared" si="25"/>
        <v>0</v>
      </c>
      <c r="X81" s="223">
        <f t="shared" si="25"/>
        <v>2317400</v>
      </c>
      <c r="Y81" s="224">
        <f>Y82</f>
        <v>2317400</v>
      </c>
      <c r="Z81" s="225">
        <f t="shared" si="25"/>
        <v>0</v>
      </c>
      <c r="AA81" s="224">
        <f t="shared" si="25"/>
        <v>2317400</v>
      </c>
      <c r="AB81" s="225">
        <f t="shared" si="25"/>
        <v>2317400</v>
      </c>
    </row>
    <row r="82" spans="1:30" s="2" customFormat="1" ht="25.5" x14ac:dyDescent="0.2">
      <c r="A82" s="362" t="s">
        <v>21</v>
      </c>
      <c r="B82" s="60" t="s">
        <v>108</v>
      </c>
      <c r="C82" s="58" t="s">
        <v>74</v>
      </c>
      <c r="D82" s="58" t="s">
        <v>76</v>
      </c>
      <c r="E82" s="117" t="s">
        <v>1</v>
      </c>
      <c r="F82" s="66" t="s">
        <v>135</v>
      </c>
      <c r="G82" s="66" t="s">
        <v>135</v>
      </c>
      <c r="H82" s="66" t="s">
        <v>135</v>
      </c>
      <c r="I82" s="74" t="s">
        <v>428</v>
      </c>
      <c r="J82" s="67" t="s">
        <v>135</v>
      </c>
      <c r="K82" s="214" t="s">
        <v>149</v>
      </c>
      <c r="L82" s="64">
        <f t="shared" si="25"/>
        <v>297000</v>
      </c>
      <c r="M82" s="65">
        <f t="shared" si="25"/>
        <v>0</v>
      </c>
      <c r="N82" s="224">
        <f t="shared" si="25"/>
        <v>378116.54</v>
      </c>
      <c r="O82" s="223">
        <f t="shared" si="25"/>
        <v>0</v>
      </c>
      <c r="P82" s="224">
        <f t="shared" si="25"/>
        <v>174428</v>
      </c>
      <c r="Q82" s="223">
        <f t="shared" si="25"/>
        <v>393249.8</v>
      </c>
      <c r="R82" s="223">
        <f t="shared" si="25"/>
        <v>0</v>
      </c>
      <c r="S82" s="223">
        <f t="shared" si="25"/>
        <v>2317400</v>
      </c>
      <c r="T82" s="224">
        <f t="shared" si="25"/>
        <v>2491828</v>
      </c>
      <c r="U82" s="225">
        <f t="shared" si="25"/>
        <v>0</v>
      </c>
      <c r="V82" s="225">
        <f t="shared" si="25"/>
        <v>408919.68</v>
      </c>
      <c r="W82" s="223">
        <f t="shared" si="25"/>
        <v>0</v>
      </c>
      <c r="X82" s="223">
        <f t="shared" si="25"/>
        <v>2317400</v>
      </c>
      <c r="Y82" s="224">
        <f t="shared" si="25"/>
        <v>2317400</v>
      </c>
      <c r="Z82" s="225">
        <f t="shared" si="25"/>
        <v>0</v>
      </c>
      <c r="AA82" s="224">
        <f t="shared" si="25"/>
        <v>2317400</v>
      </c>
      <c r="AB82" s="225">
        <f t="shared" si="25"/>
        <v>2317400</v>
      </c>
    </row>
    <row r="83" spans="1:30" s="2" customFormat="1" x14ac:dyDescent="0.2">
      <c r="A83" s="362" t="s">
        <v>22</v>
      </c>
      <c r="B83" s="60" t="s">
        <v>108</v>
      </c>
      <c r="C83" s="58" t="s">
        <v>74</v>
      </c>
      <c r="D83" s="58" t="s">
        <v>76</v>
      </c>
      <c r="E83" s="117" t="s">
        <v>1</v>
      </c>
      <c r="F83" s="66" t="s">
        <v>135</v>
      </c>
      <c r="G83" s="66" t="s">
        <v>135</v>
      </c>
      <c r="H83" s="66" t="s">
        <v>135</v>
      </c>
      <c r="I83" s="74" t="s">
        <v>428</v>
      </c>
      <c r="J83" s="67" t="s">
        <v>135</v>
      </c>
      <c r="K83" s="214" t="s">
        <v>23</v>
      </c>
      <c r="L83" s="64">
        <f>148500+148500</f>
        <v>297000</v>
      </c>
      <c r="M83" s="65">
        <v>0</v>
      </c>
      <c r="N83" s="224">
        <f>189058.27+189058.27</f>
        <v>378116.54</v>
      </c>
      <c r="O83" s="223">
        <v>0</v>
      </c>
      <c r="P83" s="224">
        <v>174428</v>
      </c>
      <c r="Q83" s="223">
        <f>196624.9+196624.9</f>
        <v>393249.8</v>
      </c>
      <c r="R83" s="223">
        <v>0</v>
      </c>
      <c r="S83" s="223">
        <v>2317400</v>
      </c>
      <c r="T83" s="224">
        <f>S83+P83</f>
        <v>2491828</v>
      </c>
      <c r="U83" s="225">
        <v>0</v>
      </c>
      <c r="V83" s="225">
        <f>204459.84+204459.84</f>
        <v>408919.68</v>
      </c>
      <c r="W83" s="223">
        <v>0</v>
      </c>
      <c r="X83" s="223">
        <v>2317400</v>
      </c>
      <c r="Y83" s="224">
        <f>X83</f>
        <v>2317400</v>
      </c>
      <c r="Z83" s="225">
        <v>0</v>
      </c>
      <c r="AA83" s="224">
        <v>2317400</v>
      </c>
      <c r="AB83" s="225">
        <f>AA83</f>
        <v>2317400</v>
      </c>
    </row>
    <row r="84" spans="1:30" s="2" customFormat="1" x14ac:dyDescent="0.2">
      <c r="A84" s="362" t="s">
        <v>445</v>
      </c>
      <c r="B84" s="60" t="s">
        <v>108</v>
      </c>
      <c r="C84" s="58" t="s">
        <v>74</v>
      </c>
      <c r="D84" s="59" t="s">
        <v>76</v>
      </c>
      <c r="E84" s="72" t="s">
        <v>446</v>
      </c>
      <c r="F84" s="66" t="s">
        <v>135</v>
      </c>
      <c r="G84" s="66" t="s">
        <v>135</v>
      </c>
      <c r="H84" s="66" t="s">
        <v>135</v>
      </c>
      <c r="I84" s="74" t="s">
        <v>136</v>
      </c>
      <c r="J84" s="67"/>
      <c r="K84" s="214"/>
      <c r="L84" s="64"/>
      <c r="M84" s="65"/>
      <c r="N84" s="65">
        <f>N85</f>
        <v>56105</v>
      </c>
      <c r="O84" s="65">
        <f t="shared" ref="O84:AB86" si="26">O85</f>
        <v>0</v>
      </c>
      <c r="P84" s="223">
        <f t="shared" si="26"/>
        <v>0</v>
      </c>
      <c r="Q84" s="65">
        <f t="shared" si="26"/>
        <v>0</v>
      </c>
      <c r="R84" s="65">
        <f t="shared" si="26"/>
        <v>0</v>
      </c>
      <c r="S84" s="223">
        <f t="shared" si="26"/>
        <v>420000</v>
      </c>
      <c r="T84" s="224">
        <f t="shared" si="26"/>
        <v>420000</v>
      </c>
      <c r="U84" s="225">
        <f t="shared" si="26"/>
        <v>0</v>
      </c>
      <c r="V84" s="64">
        <f t="shared" si="26"/>
        <v>0</v>
      </c>
      <c r="W84" s="223"/>
      <c r="X84" s="65">
        <f t="shared" si="26"/>
        <v>0</v>
      </c>
      <c r="Y84" s="224">
        <f t="shared" si="26"/>
        <v>0</v>
      </c>
      <c r="Z84" s="225">
        <f t="shared" si="26"/>
        <v>0</v>
      </c>
      <c r="AA84" s="224">
        <f t="shared" si="26"/>
        <v>0</v>
      </c>
      <c r="AB84" s="225">
        <f t="shared" si="26"/>
        <v>0</v>
      </c>
    </row>
    <row r="85" spans="1:30" s="2" customFormat="1" x14ac:dyDescent="0.2">
      <c r="A85" s="362" t="s">
        <v>447</v>
      </c>
      <c r="B85" s="60" t="s">
        <v>108</v>
      </c>
      <c r="C85" s="58" t="s">
        <v>74</v>
      </c>
      <c r="D85" s="59" t="s">
        <v>76</v>
      </c>
      <c r="E85" s="72" t="s">
        <v>446</v>
      </c>
      <c r="F85" s="66" t="s">
        <v>135</v>
      </c>
      <c r="G85" s="66" t="s">
        <v>135</v>
      </c>
      <c r="H85" s="66" t="s">
        <v>135</v>
      </c>
      <c r="I85" s="74" t="s">
        <v>448</v>
      </c>
      <c r="J85" s="67" t="s">
        <v>135</v>
      </c>
      <c r="K85" s="214"/>
      <c r="L85" s="64"/>
      <c r="M85" s="65"/>
      <c r="N85" s="65">
        <f>N86</f>
        <v>56105</v>
      </c>
      <c r="O85" s="65">
        <f t="shared" si="26"/>
        <v>0</v>
      </c>
      <c r="P85" s="223">
        <f t="shared" si="26"/>
        <v>0</v>
      </c>
      <c r="Q85" s="65">
        <f t="shared" si="26"/>
        <v>0</v>
      </c>
      <c r="R85" s="65">
        <f t="shared" si="26"/>
        <v>0</v>
      </c>
      <c r="S85" s="223">
        <f t="shared" si="26"/>
        <v>420000</v>
      </c>
      <c r="T85" s="224">
        <f t="shared" si="26"/>
        <v>420000</v>
      </c>
      <c r="U85" s="225">
        <f t="shared" si="26"/>
        <v>0</v>
      </c>
      <c r="V85" s="64">
        <f t="shared" si="26"/>
        <v>0</v>
      </c>
      <c r="W85" s="223"/>
      <c r="X85" s="65">
        <f t="shared" si="26"/>
        <v>0</v>
      </c>
      <c r="Y85" s="224">
        <f t="shared" si="26"/>
        <v>0</v>
      </c>
      <c r="Z85" s="225">
        <f t="shared" si="26"/>
        <v>0</v>
      </c>
      <c r="AA85" s="224">
        <f t="shared" si="26"/>
        <v>0</v>
      </c>
      <c r="AB85" s="225">
        <f t="shared" si="26"/>
        <v>0</v>
      </c>
    </row>
    <row r="86" spans="1:30" s="2" customFormat="1" ht="25.5" x14ac:dyDescent="0.2">
      <c r="A86" s="362" t="s">
        <v>21</v>
      </c>
      <c r="B86" s="60" t="s">
        <v>108</v>
      </c>
      <c r="C86" s="58" t="s">
        <v>74</v>
      </c>
      <c r="D86" s="59" t="s">
        <v>76</v>
      </c>
      <c r="E86" s="72" t="s">
        <v>446</v>
      </c>
      <c r="F86" s="66" t="s">
        <v>135</v>
      </c>
      <c r="G86" s="66" t="s">
        <v>135</v>
      </c>
      <c r="H86" s="66" t="s">
        <v>135</v>
      </c>
      <c r="I86" s="74" t="s">
        <v>448</v>
      </c>
      <c r="J86" s="67" t="s">
        <v>135</v>
      </c>
      <c r="K86" s="214" t="s">
        <v>149</v>
      </c>
      <c r="L86" s="64"/>
      <c r="M86" s="65"/>
      <c r="N86" s="65">
        <f>N87</f>
        <v>56105</v>
      </c>
      <c r="O86" s="65">
        <f t="shared" si="26"/>
        <v>0</v>
      </c>
      <c r="P86" s="223">
        <f t="shared" si="26"/>
        <v>0</v>
      </c>
      <c r="Q86" s="65">
        <f t="shared" si="26"/>
        <v>0</v>
      </c>
      <c r="R86" s="65">
        <f t="shared" si="26"/>
        <v>0</v>
      </c>
      <c r="S86" s="223">
        <f t="shared" si="26"/>
        <v>420000</v>
      </c>
      <c r="T86" s="224">
        <f t="shared" si="26"/>
        <v>420000</v>
      </c>
      <c r="U86" s="225">
        <f t="shared" si="26"/>
        <v>0</v>
      </c>
      <c r="V86" s="64">
        <f t="shared" si="26"/>
        <v>0</v>
      </c>
      <c r="W86" s="223"/>
      <c r="X86" s="65">
        <f t="shared" si="26"/>
        <v>0</v>
      </c>
      <c r="Y86" s="224">
        <f t="shared" si="26"/>
        <v>0</v>
      </c>
      <c r="Z86" s="225">
        <f t="shared" si="26"/>
        <v>0</v>
      </c>
      <c r="AA86" s="224">
        <f t="shared" si="26"/>
        <v>0</v>
      </c>
      <c r="AB86" s="225">
        <f t="shared" si="26"/>
        <v>0</v>
      </c>
    </row>
    <row r="87" spans="1:30" s="2" customFormat="1" x14ac:dyDescent="0.2">
      <c r="A87" s="362" t="s">
        <v>22</v>
      </c>
      <c r="B87" s="60" t="s">
        <v>108</v>
      </c>
      <c r="C87" s="58" t="s">
        <v>74</v>
      </c>
      <c r="D87" s="59" t="s">
        <v>76</v>
      </c>
      <c r="E87" s="72" t="s">
        <v>446</v>
      </c>
      <c r="F87" s="66" t="s">
        <v>135</v>
      </c>
      <c r="G87" s="66" t="s">
        <v>135</v>
      </c>
      <c r="H87" s="66" t="s">
        <v>135</v>
      </c>
      <c r="I87" s="74" t="s">
        <v>448</v>
      </c>
      <c r="J87" s="67" t="s">
        <v>135</v>
      </c>
      <c r="K87" s="214" t="s">
        <v>23</v>
      </c>
      <c r="L87" s="64"/>
      <c r="M87" s="65"/>
      <c r="N87" s="65">
        <v>56105</v>
      </c>
      <c r="O87" s="65">
        <v>0</v>
      </c>
      <c r="P87" s="223">
        <v>0</v>
      </c>
      <c r="Q87" s="534"/>
      <c r="R87" s="65"/>
      <c r="S87" s="223">
        <v>420000</v>
      </c>
      <c r="T87" s="224">
        <f>S87</f>
        <v>420000</v>
      </c>
      <c r="U87" s="225">
        <v>0</v>
      </c>
      <c r="V87" s="518"/>
      <c r="W87" s="223"/>
      <c r="X87" s="64">
        <v>0</v>
      </c>
      <c r="Y87" s="224">
        <v>0</v>
      </c>
      <c r="Z87" s="225">
        <v>0</v>
      </c>
      <c r="AA87" s="224">
        <v>0</v>
      </c>
      <c r="AB87" s="225">
        <v>0</v>
      </c>
    </row>
    <row r="88" spans="1:30" s="2" customFormat="1" x14ac:dyDescent="0.2">
      <c r="A88" s="362" t="s">
        <v>181</v>
      </c>
      <c r="B88" s="60" t="s">
        <v>108</v>
      </c>
      <c r="C88" s="58" t="s">
        <v>74</v>
      </c>
      <c r="D88" s="58" t="s">
        <v>72</v>
      </c>
      <c r="E88" s="117"/>
      <c r="F88" s="66"/>
      <c r="G88" s="66"/>
      <c r="H88" s="66"/>
      <c r="I88" s="74"/>
      <c r="J88" s="67"/>
      <c r="K88" s="214"/>
      <c r="L88" s="64"/>
      <c r="M88" s="65"/>
      <c r="N88" s="224">
        <f t="shared" ref="N88:AB88" si="27">N89</f>
        <v>41847875.560000002</v>
      </c>
      <c r="O88" s="223">
        <f t="shared" si="27"/>
        <v>109964.40000000002</v>
      </c>
      <c r="P88" s="224">
        <f t="shared" si="27"/>
        <v>42588839.959999993</v>
      </c>
      <c r="Q88" s="223">
        <f t="shared" si="27"/>
        <v>221896637.56</v>
      </c>
      <c r="R88" s="223">
        <f t="shared" si="27"/>
        <v>5292457.4000000004</v>
      </c>
      <c r="S88" s="223">
        <f t="shared" si="27"/>
        <v>-229492.2</v>
      </c>
      <c r="T88" s="224">
        <f t="shared" si="27"/>
        <v>42359347.759999998</v>
      </c>
      <c r="U88" s="225">
        <f t="shared" si="27"/>
        <v>43052413.960000001</v>
      </c>
      <c r="V88" s="225">
        <f t="shared" si="27"/>
        <v>228348524.56</v>
      </c>
      <c r="W88" s="223">
        <f t="shared" si="27"/>
        <v>5309232.4000000004</v>
      </c>
      <c r="X88" s="223">
        <f t="shared" si="27"/>
        <v>0</v>
      </c>
      <c r="Y88" s="224">
        <f t="shared" si="27"/>
        <v>43052413.960000001</v>
      </c>
      <c r="Z88" s="225">
        <f t="shared" si="27"/>
        <v>43521075.960000001</v>
      </c>
      <c r="AA88" s="224">
        <f t="shared" si="27"/>
        <v>0</v>
      </c>
      <c r="AB88" s="225">
        <f t="shared" si="27"/>
        <v>43521075.960000001</v>
      </c>
    </row>
    <row r="89" spans="1:30" s="2" customFormat="1" ht="25.5" x14ac:dyDescent="0.2">
      <c r="A89" s="362" t="s">
        <v>312</v>
      </c>
      <c r="B89" s="60" t="s">
        <v>108</v>
      </c>
      <c r="C89" s="58" t="s">
        <v>74</v>
      </c>
      <c r="D89" s="58" t="s">
        <v>72</v>
      </c>
      <c r="E89" s="103" t="s">
        <v>1</v>
      </c>
      <c r="F89" s="66" t="s">
        <v>135</v>
      </c>
      <c r="G89" s="66" t="s">
        <v>135</v>
      </c>
      <c r="H89" s="66" t="s">
        <v>135</v>
      </c>
      <c r="I89" s="66" t="s">
        <v>136</v>
      </c>
      <c r="J89" s="67" t="s">
        <v>135</v>
      </c>
      <c r="K89" s="208"/>
      <c r="L89" s="68" t="e">
        <f>L93+L90+#REF!+L99+L96</f>
        <v>#REF!</v>
      </c>
      <c r="M89" s="69" t="e">
        <f>M93+M90+#REF!+M99+M96</f>
        <v>#REF!</v>
      </c>
      <c r="N89" s="216">
        <f>N93+N90+N99+N109+N96</f>
        <v>41847875.560000002</v>
      </c>
      <c r="O89" s="215">
        <f>O93+O90+O99+O109+O96</f>
        <v>109964.40000000002</v>
      </c>
      <c r="P89" s="216">
        <f>P93+P90+P99+P109+P96+P112+P106</f>
        <v>42588839.959999993</v>
      </c>
      <c r="Q89" s="216">
        <f t="shared" ref="Q89:AB89" si="28">Q93+Q90+Q99+Q109+Q96+Q112+Q106</f>
        <v>221896637.56</v>
      </c>
      <c r="R89" s="215">
        <f t="shared" si="28"/>
        <v>5292457.4000000004</v>
      </c>
      <c r="S89" s="215">
        <f t="shared" si="28"/>
        <v>-229492.2</v>
      </c>
      <c r="T89" s="216">
        <f t="shared" si="28"/>
        <v>42359347.759999998</v>
      </c>
      <c r="U89" s="217">
        <f t="shared" si="28"/>
        <v>43052413.960000001</v>
      </c>
      <c r="V89" s="217">
        <f t="shared" si="28"/>
        <v>228348524.56</v>
      </c>
      <c r="W89" s="216">
        <f t="shared" si="28"/>
        <v>5309232.4000000004</v>
      </c>
      <c r="X89" s="215">
        <f t="shared" si="28"/>
        <v>0</v>
      </c>
      <c r="Y89" s="216">
        <f t="shared" si="28"/>
        <v>43052413.960000001</v>
      </c>
      <c r="Z89" s="217">
        <f t="shared" si="28"/>
        <v>43521075.960000001</v>
      </c>
      <c r="AA89" s="216">
        <f t="shared" si="28"/>
        <v>0</v>
      </c>
      <c r="AB89" s="217">
        <f t="shared" si="28"/>
        <v>43521075.960000001</v>
      </c>
    </row>
    <row r="90" spans="1:30" s="2" customFormat="1" x14ac:dyDescent="0.2">
      <c r="A90" s="362" t="s">
        <v>129</v>
      </c>
      <c r="B90" s="60" t="s">
        <v>108</v>
      </c>
      <c r="C90" s="58" t="s">
        <v>74</v>
      </c>
      <c r="D90" s="58" t="s">
        <v>72</v>
      </c>
      <c r="E90" s="103" t="s">
        <v>1</v>
      </c>
      <c r="F90" s="66" t="s">
        <v>135</v>
      </c>
      <c r="G90" s="66" t="s">
        <v>135</v>
      </c>
      <c r="H90" s="66" t="s">
        <v>135</v>
      </c>
      <c r="I90" s="66" t="s">
        <v>0</v>
      </c>
      <c r="J90" s="67" t="s">
        <v>135</v>
      </c>
      <c r="K90" s="214"/>
      <c r="L90" s="68">
        <f t="shared" ref="L90:AB91" si="29">L91</f>
        <v>1629100</v>
      </c>
      <c r="M90" s="69">
        <f t="shared" si="29"/>
        <v>0</v>
      </c>
      <c r="N90" s="216">
        <f t="shared" si="29"/>
        <v>1119511</v>
      </c>
      <c r="O90" s="216">
        <f t="shared" si="29"/>
        <v>502789</v>
      </c>
      <c r="P90" s="216">
        <f t="shared" si="29"/>
        <v>1622300</v>
      </c>
      <c r="Q90" s="215">
        <f t="shared" si="29"/>
        <v>1742878</v>
      </c>
      <c r="R90" s="216">
        <f t="shared" si="29"/>
        <v>516696</v>
      </c>
      <c r="S90" s="216">
        <f t="shared" si="29"/>
        <v>-598133</v>
      </c>
      <c r="T90" s="216">
        <f t="shared" si="29"/>
        <v>1024167</v>
      </c>
      <c r="U90" s="217">
        <f t="shared" si="29"/>
        <v>2259574</v>
      </c>
      <c r="V90" s="216">
        <f t="shared" si="29"/>
        <v>1707205</v>
      </c>
      <c r="W90" s="215">
        <f t="shared" si="29"/>
        <v>533471</v>
      </c>
      <c r="X90" s="215">
        <f t="shared" si="29"/>
        <v>0</v>
      </c>
      <c r="Y90" s="216">
        <f t="shared" si="29"/>
        <v>2259574</v>
      </c>
      <c r="Z90" s="217">
        <f t="shared" si="29"/>
        <v>2240676</v>
      </c>
      <c r="AA90" s="216">
        <f t="shared" si="29"/>
        <v>0</v>
      </c>
      <c r="AB90" s="217">
        <f t="shared" si="29"/>
        <v>2240676</v>
      </c>
    </row>
    <row r="91" spans="1:30" s="2" customFormat="1" ht="25.5" x14ac:dyDescent="0.2">
      <c r="A91" s="362" t="s">
        <v>21</v>
      </c>
      <c r="B91" s="60" t="s">
        <v>108</v>
      </c>
      <c r="C91" s="58" t="s">
        <v>74</v>
      </c>
      <c r="D91" s="58" t="s">
        <v>72</v>
      </c>
      <c r="E91" s="103" t="s">
        <v>1</v>
      </c>
      <c r="F91" s="70" t="s">
        <v>135</v>
      </c>
      <c r="G91" s="66" t="s">
        <v>135</v>
      </c>
      <c r="H91" s="66" t="s">
        <v>135</v>
      </c>
      <c r="I91" s="71" t="s">
        <v>0</v>
      </c>
      <c r="J91" s="67" t="s">
        <v>135</v>
      </c>
      <c r="K91" s="372">
        <v>600</v>
      </c>
      <c r="L91" s="68">
        <f t="shared" si="29"/>
        <v>1629100</v>
      </c>
      <c r="M91" s="69">
        <f t="shared" si="29"/>
        <v>0</v>
      </c>
      <c r="N91" s="216">
        <f t="shared" si="29"/>
        <v>1119511</v>
      </c>
      <c r="O91" s="216">
        <f t="shared" si="29"/>
        <v>502789</v>
      </c>
      <c r="P91" s="216">
        <f t="shared" si="29"/>
        <v>1622300</v>
      </c>
      <c r="Q91" s="215">
        <f t="shared" si="29"/>
        <v>1742878</v>
      </c>
      <c r="R91" s="216">
        <f t="shared" si="29"/>
        <v>516696</v>
      </c>
      <c r="S91" s="216">
        <f t="shared" si="29"/>
        <v>-598133</v>
      </c>
      <c r="T91" s="216">
        <f t="shared" si="29"/>
        <v>1024167</v>
      </c>
      <c r="U91" s="217">
        <f t="shared" si="29"/>
        <v>2259574</v>
      </c>
      <c r="V91" s="216">
        <f t="shared" si="29"/>
        <v>1707205</v>
      </c>
      <c r="W91" s="215">
        <f t="shared" si="29"/>
        <v>533471</v>
      </c>
      <c r="X91" s="215">
        <f t="shared" si="29"/>
        <v>0</v>
      </c>
      <c r="Y91" s="216">
        <f t="shared" si="29"/>
        <v>2259574</v>
      </c>
      <c r="Z91" s="217">
        <f t="shared" si="29"/>
        <v>2240676</v>
      </c>
      <c r="AA91" s="216">
        <f t="shared" si="29"/>
        <v>0</v>
      </c>
      <c r="AB91" s="217">
        <f t="shared" si="29"/>
        <v>2240676</v>
      </c>
    </row>
    <row r="92" spans="1:30" s="2" customFormat="1" x14ac:dyDescent="0.2">
      <c r="A92" s="212" t="s">
        <v>22</v>
      </c>
      <c r="B92" s="58" t="s">
        <v>108</v>
      </c>
      <c r="C92" s="58" t="s">
        <v>74</v>
      </c>
      <c r="D92" s="58" t="s">
        <v>72</v>
      </c>
      <c r="E92" s="103" t="s">
        <v>1</v>
      </c>
      <c r="F92" s="70" t="s">
        <v>135</v>
      </c>
      <c r="G92" s="66" t="s">
        <v>135</v>
      </c>
      <c r="H92" s="66" t="s">
        <v>135</v>
      </c>
      <c r="I92" s="71" t="s">
        <v>0</v>
      </c>
      <c r="J92" s="67" t="s">
        <v>135</v>
      </c>
      <c r="K92" s="372" t="s">
        <v>23</v>
      </c>
      <c r="L92" s="68">
        <f>635000+20000+954100+20000</f>
        <v>1629100</v>
      </c>
      <c r="M92" s="69">
        <v>0</v>
      </c>
      <c r="N92" s="216">
        <f>954100+165411</f>
        <v>1119511</v>
      </c>
      <c r="O92" s="216">
        <v>502789</v>
      </c>
      <c r="P92" s="216">
        <f>O92+N92</f>
        <v>1622300</v>
      </c>
      <c r="Q92" s="215">
        <f>1609100+133778</f>
        <v>1742878</v>
      </c>
      <c r="R92" s="216">
        <v>516696</v>
      </c>
      <c r="S92" s="216">
        <f>-171000-27133-400000</f>
        <v>-598133</v>
      </c>
      <c r="T92" s="216">
        <f>S92+P92</f>
        <v>1024167</v>
      </c>
      <c r="U92" s="217">
        <f>R92+Q92</f>
        <v>2259574</v>
      </c>
      <c r="V92" s="216">
        <f>1609100+98105</f>
        <v>1707205</v>
      </c>
      <c r="W92" s="215">
        <f>533471</f>
        <v>533471</v>
      </c>
      <c r="X92" s="215">
        <v>0</v>
      </c>
      <c r="Y92" s="216">
        <v>2259574</v>
      </c>
      <c r="Z92" s="217">
        <f>W92+V92</f>
        <v>2240676</v>
      </c>
      <c r="AA92" s="216">
        <v>0</v>
      </c>
      <c r="AB92" s="216">
        <v>2240676</v>
      </c>
      <c r="AC92" s="75"/>
    </row>
    <row r="93" spans="1:30" s="2" customFormat="1" ht="25.5" x14ac:dyDescent="0.2">
      <c r="A93" s="212" t="s">
        <v>150</v>
      </c>
      <c r="B93" s="58" t="s">
        <v>108</v>
      </c>
      <c r="C93" s="58" t="s">
        <v>74</v>
      </c>
      <c r="D93" s="58" t="s">
        <v>72</v>
      </c>
      <c r="E93" s="103" t="s">
        <v>1</v>
      </c>
      <c r="F93" s="70" t="s">
        <v>135</v>
      </c>
      <c r="G93" s="66" t="s">
        <v>135</v>
      </c>
      <c r="H93" s="66" t="s">
        <v>135</v>
      </c>
      <c r="I93" s="71" t="s">
        <v>151</v>
      </c>
      <c r="J93" s="67" t="s">
        <v>135</v>
      </c>
      <c r="K93" s="372"/>
      <c r="L93" s="68">
        <f t="shared" ref="L93:AB94" si="30">L94</f>
        <v>20952780</v>
      </c>
      <c r="M93" s="69">
        <f t="shared" si="30"/>
        <v>0</v>
      </c>
      <c r="N93" s="216">
        <f t="shared" si="30"/>
        <v>24801544.559999999</v>
      </c>
      <c r="O93" s="216">
        <f t="shared" si="30"/>
        <v>61475.4</v>
      </c>
      <c r="P93" s="216">
        <f t="shared" si="30"/>
        <v>24863019.959999997</v>
      </c>
      <c r="Q93" s="215">
        <f t="shared" si="30"/>
        <v>19528744.559999999</v>
      </c>
      <c r="R93" s="216">
        <f t="shared" si="30"/>
        <v>5334275.4000000004</v>
      </c>
      <c r="S93" s="216">
        <f t="shared" si="30"/>
        <v>0</v>
      </c>
      <c r="T93" s="216">
        <f t="shared" si="30"/>
        <v>24863019.960000001</v>
      </c>
      <c r="U93" s="217">
        <f t="shared" si="30"/>
        <v>24863019.960000001</v>
      </c>
      <c r="V93" s="216">
        <f t="shared" si="30"/>
        <v>19528744.559999999</v>
      </c>
      <c r="W93" s="215">
        <f t="shared" si="30"/>
        <v>5334275.4000000004</v>
      </c>
      <c r="X93" s="215">
        <f t="shared" si="30"/>
        <v>0</v>
      </c>
      <c r="Y93" s="216">
        <f t="shared" si="30"/>
        <v>24863019.960000001</v>
      </c>
      <c r="Z93" s="217">
        <f t="shared" si="30"/>
        <v>24863019.960000001</v>
      </c>
      <c r="AA93" s="216">
        <f t="shared" si="30"/>
        <v>0</v>
      </c>
      <c r="AB93" s="216">
        <f t="shared" si="30"/>
        <v>24863019.960000001</v>
      </c>
    </row>
    <row r="94" spans="1:30" s="2" customFormat="1" ht="25.5" x14ac:dyDescent="0.2">
      <c r="A94" s="212" t="s">
        <v>21</v>
      </c>
      <c r="B94" s="58" t="s">
        <v>108</v>
      </c>
      <c r="C94" s="58" t="s">
        <v>74</v>
      </c>
      <c r="D94" s="58" t="s">
        <v>72</v>
      </c>
      <c r="E94" s="103" t="s">
        <v>1</v>
      </c>
      <c r="F94" s="70" t="s">
        <v>135</v>
      </c>
      <c r="G94" s="66" t="s">
        <v>135</v>
      </c>
      <c r="H94" s="66" t="s">
        <v>135</v>
      </c>
      <c r="I94" s="71" t="s">
        <v>151</v>
      </c>
      <c r="J94" s="67" t="s">
        <v>135</v>
      </c>
      <c r="K94" s="372">
        <v>600</v>
      </c>
      <c r="L94" s="68">
        <f t="shared" si="30"/>
        <v>20952780</v>
      </c>
      <c r="M94" s="69">
        <f t="shared" si="30"/>
        <v>0</v>
      </c>
      <c r="N94" s="216">
        <f t="shared" si="30"/>
        <v>24801544.559999999</v>
      </c>
      <c r="O94" s="216">
        <f t="shared" si="30"/>
        <v>61475.4</v>
      </c>
      <c r="P94" s="216">
        <f t="shared" si="30"/>
        <v>24863019.959999997</v>
      </c>
      <c r="Q94" s="215">
        <f t="shared" si="30"/>
        <v>19528744.559999999</v>
      </c>
      <c r="R94" s="216">
        <f t="shared" si="30"/>
        <v>5334275.4000000004</v>
      </c>
      <c r="S94" s="216">
        <f t="shared" si="30"/>
        <v>0</v>
      </c>
      <c r="T94" s="216">
        <f t="shared" si="30"/>
        <v>24863019.960000001</v>
      </c>
      <c r="U94" s="217">
        <f t="shared" si="30"/>
        <v>24863019.960000001</v>
      </c>
      <c r="V94" s="216">
        <f t="shared" si="30"/>
        <v>19528744.559999999</v>
      </c>
      <c r="W94" s="215">
        <f t="shared" si="30"/>
        <v>5334275.4000000004</v>
      </c>
      <c r="X94" s="215">
        <f t="shared" si="30"/>
        <v>0</v>
      </c>
      <c r="Y94" s="216">
        <f t="shared" si="30"/>
        <v>24863019.960000001</v>
      </c>
      <c r="Z94" s="217">
        <f t="shared" si="30"/>
        <v>24863019.960000001</v>
      </c>
      <c r="AA94" s="216">
        <f t="shared" si="30"/>
        <v>0</v>
      </c>
      <c r="AB94" s="216">
        <f t="shared" si="30"/>
        <v>24863019.960000001</v>
      </c>
      <c r="AC94" s="75"/>
      <c r="AD94" s="75"/>
    </row>
    <row r="95" spans="1:30" s="2" customFormat="1" x14ac:dyDescent="0.2">
      <c r="A95" s="212" t="s">
        <v>22</v>
      </c>
      <c r="B95" s="58" t="s">
        <v>108</v>
      </c>
      <c r="C95" s="58" t="s">
        <v>74</v>
      </c>
      <c r="D95" s="58" t="s">
        <v>72</v>
      </c>
      <c r="E95" s="103" t="s">
        <v>1</v>
      </c>
      <c r="F95" s="70" t="s">
        <v>135</v>
      </c>
      <c r="G95" s="66" t="s">
        <v>135</v>
      </c>
      <c r="H95" s="66" t="s">
        <v>135</v>
      </c>
      <c r="I95" s="71" t="s">
        <v>151</v>
      </c>
      <c r="J95" s="67" t="s">
        <v>135</v>
      </c>
      <c r="K95" s="372" t="s">
        <v>23</v>
      </c>
      <c r="L95" s="64">
        <v>20952780</v>
      </c>
      <c r="M95" s="65">
        <v>0</v>
      </c>
      <c r="N95" s="224">
        <f>19528744.56+5272800</f>
        <v>24801544.559999999</v>
      </c>
      <c r="O95" s="224">
        <v>61475.4</v>
      </c>
      <c r="P95" s="224">
        <f>O95+N95</f>
        <v>24863019.959999997</v>
      </c>
      <c r="Q95" s="223">
        <v>19528744.559999999</v>
      </c>
      <c r="R95" s="224">
        <f>61475.4+5272800</f>
        <v>5334275.4000000004</v>
      </c>
      <c r="S95" s="224">
        <v>0</v>
      </c>
      <c r="T95" s="224">
        <v>24863019.960000001</v>
      </c>
      <c r="U95" s="225">
        <f>R95+Q95</f>
        <v>24863019.960000001</v>
      </c>
      <c r="V95" s="224">
        <v>19528744.559999999</v>
      </c>
      <c r="W95" s="223">
        <f>61475.4+5272800</f>
        <v>5334275.4000000004</v>
      </c>
      <c r="X95" s="223">
        <v>0</v>
      </c>
      <c r="Y95" s="224">
        <v>24863019.960000001</v>
      </c>
      <c r="Z95" s="225">
        <f>W95+V95</f>
        <v>24863019.960000001</v>
      </c>
      <c r="AA95" s="224">
        <v>0</v>
      </c>
      <c r="AB95" s="224">
        <f>Y95+X95</f>
        <v>24863019.960000001</v>
      </c>
    </row>
    <row r="96" spans="1:30" s="2" customFormat="1" ht="38.25" x14ac:dyDescent="0.2">
      <c r="A96" s="207" t="s">
        <v>354</v>
      </c>
      <c r="B96" s="58" t="s">
        <v>108</v>
      </c>
      <c r="C96" s="58" t="s">
        <v>74</v>
      </c>
      <c r="D96" s="58" t="s">
        <v>72</v>
      </c>
      <c r="E96" s="103" t="s">
        <v>1</v>
      </c>
      <c r="F96" s="70" t="s">
        <v>135</v>
      </c>
      <c r="G96" s="66" t="s">
        <v>135</v>
      </c>
      <c r="H96" s="66" t="s">
        <v>135</v>
      </c>
      <c r="I96" s="71" t="s">
        <v>225</v>
      </c>
      <c r="J96" s="67" t="s">
        <v>135</v>
      </c>
      <c r="K96" s="372"/>
      <c r="L96" s="64">
        <f t="shared" ref="L96:AB97" si="31">L97</f>
        <v>15000</v>
      </c>
      <c r="M96" s="65">
        <f t="shared" si="31"/>
        <v>0</v>
      </c>
      <c r="N96" s="224">
        <f t="shared" si="31"/>
        <v>25000</v>
      </c>
      <c r="O96" s="224">
        <f t="shared" si="31"/>
        <v>0</v>
      </c>
      <c r="P96" s="224">
        <f t="shared" si="31"/>
        <v>25000</v>
      </c>
      <c r="Q96" s="223">
        <f t="shared" si="31"/>
        <v>25000</v>
      </c>
      <c r="R96" s="224">
        <f t="shared" si="31"/>
        <v>0</v>
      </c>
      <c r="S96" s="224">
        <f t="shared" si="31"/>
        <v>0</v>
      </c>
      <c r="T96" s="224">
        <f t="shared" si="31"/>
        <v>25000</v>
      </c>
      <c r="U96" s="225">
        <f t="shared" si="31"/>
        <v>25000</v>
      </c>
      <c r="V96" s="224">
        <f t="shared" si="31"/>
        <v>25000</v>
      </c>
      <c r="W96" s="223">
        <f t="shared" si="31"/>
        <v>0</v>
      </c>
      <c r="X96" s="223">
        <f t="shared" si="31"/>
        <v>0</v>
      </c>
      <c r="Y96" s="224">
        <f t="shared" si="31"/>
        <v>25000</v>
      </c>
      <c r="Z96" s="225">
        <f t="shared" si="31"/>
        <v>25000</v>
      </c>
      <c r="AA96" s="224">
        <f t="shared" si="31"/>
        <v>0</v>
      </c>
      <c r="AB96" s="224">
        <f t="shared" si="31"/>
        <v>25000</v>
      </c>
    </row>
    <row r="97" spans="1:28" s="2" customFormat="1" ht="25.5" x14ac:dyDescent="0.2">
      <c r="A97" s="212" t="s">
        <v>21</v>
      </c>
      <c r="B97" s="58" t="s">
        <v>108</v>
      </c>
      <c r="C97" s="58" t="s">
        <v>74</v>
      </c>
      <c r="D97" s="58" t="s">
        <v>72</v>
      </c>
      <c r="E97" s="103" t="s">
        <v>1</v>
      </c>
      <c r="F97" s="70" t="s">
        <v>135</v>
      </c>
      <c r="G97" s="66" t="s">
        <v>135</v>
      </c>
      <c r="H97" s="66" t="s">
        <v>135</v>
      </c>
      <c r="I97" s="71" t="s">
        <v>225</v>
      </c>
      <c r="J97" s="67" t="s">
        <v>135</v>
      </c>
      <c r="K97" s="372" t="s">
        <v>149</v>
      </c>
      <c r="L97" s="64">
        <f t="shared" si="31"/>
        <v>15000</v>
      </c>
      <c r="M97" s="65">
        <f t="shared" si="31"/>
        <v>0</v>
      </c>
      <c r="N97" s="224">
        <f t="shared" si="31"/>
        <v>25000</v>
      </c>
      <c r="O97" s="224">
        <f t="shared" si="31"/>
        <v>0</v>
      </c>
      <c r="P97" s="224">
        <f t="shared" si="31"/>
        <v>25000</v>
      </c>
      <c r="Q97" s="223">
        <f t="shared" si="31"/>
        <v>25000</v>
      </c>
      <c r="R97" s="224">
        <f t="shared" si="31"/>
        <v>0</v>
      </c>
      <c r="S97" s="224">
        <f t="shared" si="31"/>
        <v>0</v>
      </c>
      <c r="T97" s="224">
        <f t="shared" si="31"/>
        <v>25000</v>
      </c>
      <c r="U97" s="225">
        <f t="shared" si="31"/>
        <v>25000</v>
      </c>
      <c r="V97" s="224">
        <f t="shared" si="31"/>
        <v>25000</v>
      </c>
      <c r="W97" s="223">
        <f t="shared" si="31"/>
        <v>0</v>
      </c>
      <c r="X97" s="223">
        <f t="shared" si="31"/>
        <v>0</v>
      </c>
      <c r="Y97" s="224">
        <f t="shared" si="31"/>
        <v>25000</v>
      </c>
      <c r="Z97" s="225">
        <f t="shared" si="31"/>
        <v>25000</v>
      </c>
      <c r="AA97" s="224">
        <f t="shared" si="31"/>
        <v>0</v>
      </c>
      <c r="AB97" s="224">
        <f t="shared" si="31"/>
        <v>25000</v>
      </c>
    </row>
    <row r="98" spans="1:28" s="2" customFormat="1" x14ac:dyDescent="0.2">
      <c r="A98" s="212" t="s">
        <v>22</v>
      </c>
      <c r="B98" s="58" t="s">
        <v>108</v>
      </c>
      <c r="C98" s="58" t="s">
        <v>74</v>
      </c>
      <c r="D98" s="58" t="s">
        <v>72</v>
      </c>
      <c r="E98" s="103" t="s">
        <v>1</v>
      </c>
      <c r="F98" s="70" t="s">
        <v>135</v>
      </c>
      <c r="G98" s="66" t="s">
        <v>135</v>
      </c>
      <c r="H98" s="66" t="s">
        <v>135</v>
      </c>
      <c r="I98" s="71" t="s">
        <v>225</v>
      </c>
      <c r="J98" s="67" t="s">
        <v>135</v>
      </c>
      <c r="K98" s="372" t="s">
        <v>23</v>
      </c>
      <c r="L98" s="64">
        <v>15000</v>
      </c>
      <c r="M98" s="65">
        <v>0</v>
      </c>
      <c r="N98" s="224">
        <v>25000</v>
      </c>
      <c r="O98" s="224">
        <v>0</v>
      </c>
      <c r="P98" s="224">
        <v>25000</v>
      </c>
      <c r="Q98" s="223">
        <v>25000</v>
      </c>
      <c r="R98" s="224">
        <v>0</v>
      </c>
      <c r="S98" s="224">
        <v>0</v>
      </c>
      <c r="T98" s="224">
        <v>25000</v>
      </c>
      <c r="U98" s="225">
        <v>25000</v>
      </c>
      <c r="V98" s="224">
        <v>25000</v>
      </c>
      <c r="W98" s="223">
        <v>0</v>
      </c>
      <c r="X98" s="223">
        <v>0</v>
      </c>
      <c r="Y98" s="224">
        <v>25000</v>
      </c>
      <c r="Z98" s="225">
        <v>25000</v>
      </c>
      <c r="AA98" s="224">
        <v>0</v>
      </c>
      <c r="AB98" s="224">
        <v>25000</v>
      </c>
    </row>
    <row r="99" spans="1:28" s="2" customFormat="1" ht="38.25" x14ac:dyDescent="0.2">
      <c r="A99" s="212" t="s">
        <v>232</v>
      </c>
      <c r="B99" s="58" t="s">
        <v>108</v>
      </c>
      <c r="C99" s="58" t="s">
        <v>74</v>
      </c>
      <c r="D99" s="58" t="s">
        <v>72</v>
      </c>
      <c r="E99" s="103" t="s">
        <v>1</v>
      </c>
      <c r="F99" s="70" t="s">
        <v>135</v>
      </c>
      <c r="G99" s="66" t="s">
        <v>135</v>
      </c>
      <c r="H99" s="66" t="s">
        <v>135</v>
      </c>
      <c r="I99" s="71" t="s">
        <v>219</v>
      </c>
      <c r="J99" s="67" t="s">
        <v>135</v>
      </c>
      <c r="K99" s="372"/>
      <c r="L99" s="64">
        <f t="shared" ref="L99:Z99" si="32">L100+L104</f>
        <v>8180620</v>
      </c>
      <c r="M99" s="65">
        <f t="shared" si="32"/>
        <v>0</v>
      </c>
      <c r="N99" s="224">
        <f t="shared" si="32"/>
        <v>14101820</v>
      </c>
      <c r="O99" s="224">
        <f t="shared" si="32"/>
        <v>-454300</v>
      </c>
      <c r="P99" s="224">
        <f t="shared" si="32"/>
        <v>13647520</v>
      </c>
      <c r="Q99" s="223">
        <f t="shared" si="32"/>
        <v>14534160</v>
      </c>
      <c r="R99" s="224">
        <f t="shared" si="32"/>
        <v>-429340</v>
      </c>
      <c r="S99" s="224">
        <f>S100+S104</f>
        <v>0</v>
      </c>
      <c r="T99" s="224">
        <f>T100+T104</f>
        <v>13647520</v>
      </c>
      <c r="U99" s="225">
        <f t="shared" si="32"/>
        <v>14104820</v>
      </c>
      <c r="V99" s="224">
        <f t="shared" si="32"/>
        <v>15021720</v>
      </c>
      <c r="W99" s="223">
        <f t="shared" si="32"/>
        <v>-429340</v>
      </c>
      <c r="X99" s="223">
        <f>X100+X104</f>
        <v>0</v>
      </c>
      <c r="Y99" s="224">
        <f>Y100+Y104</f>
        <v>14104820</v>
      </c>
      <c r="Z99" s="225">
        <f t="shared" si="32"/>
        <v>14592380</v>
      </c>
      <c r="AA99" s="224">
        <f>AA100+AA104</f>
        <v>0</v>
      </c>
      <c r="AB99" s="224">
        <f>AB100+AB104</f>
        <v>14592380</v>
      </c>
    </row>
    <row r="100" spans="1:28" s="2" customFormat="1" ht="25.5" x14ac:dyDescent="0.2">
      <c r="A100" s="212" t="s">
        <v>21</v>
      </c>
      <c r="B100" s="58" t="s">
        <v>108</v>
      </c>
      <c r="C100" s="58" t="s">
        <v>74</v>
      </c>
      <c r="D100" s="58" t="s">
        <v>72</v>
      </c>
      <c r="E100" s="103" t="s">
        <v>1</v>
      </c>
      <c r="F100" s="70" t="s">
        <v>135</v>
      </c>
      <c r="G100" s="66" t="s">
        <v>135</v>
      </c>
      <c r="H100" s="66" t="s">
        <v>135</v>
      </c>
      <c r="I100" s="71" t="s">
        <v>219</v>
      </c>
      <c r="J100" s="67" t="s">
        <v>135</v>
      </c>
      <c r="K100" s="372">
        <v>600</v>
      </c>
      <c r="L100" s="64">
        <f t="shared" ref="L100:Z100" si="33">L101+L102+L103</f>
        <v>8089646</v>
      </c>
      <c r="M100" s="65">
        <f t="shared" si="33"/>
        <v>-0.08</v>
      </c>
      <c r="N100" s="224">
        <f t="shared" si="33"/>
        <v>13843872</v>
      </c>
      <c r="O100" s="224">
        <f t="shared" si="33"/>
        <v>-328602</v>
      </c>
      <c r="P100" s="224">
        <f t="shared" si="33"/>
        <v>13515270</v>
      </c>
      <c r="Q100" s="223">
        <f t="shared" si="33"/>
        <v>14268303</v>
      </c>
      <c r="R100" s="224">
        <f t="shared" si="33"/>
        <v>-300166</v>
      </c>
      <c r="S100" s="224">
        <f>S101+S102+S103</f>
        <v>0</v>
      </c>
      <c r="T100" s="224">
        <f>T101+T102+T103</f>
        <v>13515270</v>
      </c>
      <c r="U100" s="225">
        <f t="shared" si="33"/>
        <v>13968137</v>
      </c>
      <c r="V100" s="224">
        <f t="shared" si="33"/>
        <v>14746947</v>
      </c>
      <c r="W100" s="223">
        <f t="shared" si="33"/>
        <v>-295970</v>
      </c>
      <c r="X100" s="223">
        <f>X101+X102+X103</f>
        <v>0</v>
      </c>
      <c r="Y100" s="224">
        <f>Y101+Y102+Y103</f>
        <v>13968137</v>
      </c>
      <c r="Z100" s="225">
        <f t="shared" si="33"/>
        <v>14450977</v>
      </c>
      <c r="AA100" s="224">
        <f>AA101+AA102+AA103</f>
        <v>0</v>
      </c>
      <c r="AB100" s="224">
        <f>AB101+AB102+AB103</f>
        <v>14450977</v>
      </c>
    </row>
    <row r="101" spans="1:28" s="2" customFormat="1" x14ac:dyDescent="0.2">
      <c r="A101" s="212" t="s">
        <v>22</v>
      </c>
      <c r="B101" s="58" t="s">
        <v>108</v>
      </c>
      <c r="C101" s="58" t="s">
        <v>74</v>
      </c>
      <c r="D101" s="58" t="s">
        <v>72</v>
      </c>
      <c r="E101" s="103" t="s">
        <v>1</v>
      </c>
      <c r="F101" s="70" t="s">
        <v>135</v>
      </c>
      <c r="G101" s="66" t="s">
        <v>135</v>
      </c>
      <c r="H101" s="66" t="s">
        <v>135</v>
      </c>
      <c r="I101" s="71" t="s">
        <v>219</v>
      </c>
      <c r="J101" s="67" t="s">
        <v>135</v>
      </c>
      <c r="K101" s="372" t="s">
        <v>23</v>
      </c>
      <c r="L101" s="64">
        <f>7815746+91300</f>
        <v>7907046</v>
      </c>
      <c r="M101" s="65">
        <v>-0.08</v>
      </c>
      <c r="N101" s="224">
        <f>257947+13070031</f>
        <v>13327978</v>
      </c>
      <c r="O101" s="224">
        <f>-125697+48489</f>
        <v>-77208</v>
      </c>
      <c r="P101" s="224">
        <f>O101+N101</f>
        <v>13250770</v>
      </c>
      <c r="Q101" s="223">
        <f>265855+13470738</f>
        <v>13736593</v>
      </c>
      <c r="R101" s="224">
        <f>-129174+87356</f>
        <v>-41818</v>
      </c>
      <c r="S101" s="224">
        <v>0</v>
      </c>
      <c r="T101" s="224">
        <v>13250770</v>
      </c>
      <c r="U101" s="225">
        <f>R101+Q101</f>
        <v>13694775</v>
      </c>
      <c r="V101" s="224">
        <f>274774+13922625</f>
        <v>14197399</v>
      </c>
      <c r="W101" s="223">
        <f>-133367+104131</f>
        <v>-29236</v>
      </c>
      <c r="X101" s="223">
        <v>0</v>
      </c>
      <c r="Y101" s="224">
        <v>13694775</v>
      </c>
      <c r="Z101" s="225">
        <f>W101+V101</f>
        <v>14168163</v>
      </c>
      <c r="AA101" s="224">
        <v>0</v>
      </c>
      <c r="AB101" s="224">
        <v>14168163</v>
      </c>
    </row>
    <row r="102" spans="1:28" s="2" customFormat="1" x14ac:dyDescent="0.2">
      <c r="A102" s="212" t="s">
        <v>231</v>
      </c>
      <c r="B102" s="58" t="s">
        <v>108</v>
      </c>
      <c r="C102" s="58" t="s">
        <v>74</v>
      </c>
      <c r="D102" s="58" t="s">
        <v>72</v>
      </c>
      <c r="E102" s="103" t="s">
        <v>1</v>
      </c>
      <c r="F102" s="70" t="s">
        <v>135</v>
      </c>
      <c r="G102" s="66" t="s">
        <v>135</v>
      </c>
      <c r="H102" s="66" t="s">
        <v>135</v>
      </c>
      <c r="I102" s="71" t="s">
        <v>219</v>
      </c>
      <c r="J102" s="67" t="s">
        <v>135</v>
      </c>
      <c r="K102" s="372" t="s">
        <v>220</v>
      </c>
      <c r="L102" s="64">
        <v>91300</v>
      </c>
      <c r="M102" s="65">
        <v>0</v>
      </c>
      <c r="N102" s="224">
        <v>257947</v>
      </c>
      <c r="O102" s="224">
        <v>-125697</v>
      </c>
      <c r="P102" s="224">
        <f>O102+N102</f>
        <v>132250</v>
      </c>
      <c r="Q102" s="223">
        <v>265855</v>
      </c>
      <c r="R102" s="224">
        <v>-129174</v>
      </c>
      <c r="S102" s="224">
        <v>0</v>
      </c>
      <c r="T102" s="224">
        <v>132250</v>
      </c>
      <c r="U102" s="225">
        <f>R102+Q102</f>
        <v>136681</v>
      </c>
      <c r="V102" s="224">
        <v>274774</v>
      </c>
      <c r="W102" s="223">
        <v>-133367</v>
      </c>
      <c r="X102" s="223">
        <v>0</v>
      </c>
      <c r="Y102" s="224">
        <v>136681</v>
      </c>
      <c r="Z102" s="225">
        <f>W102+V102</f>
        <v>141407</v>
      </c>
      <c r="AA102" s="224">
        <v>0</v>
      </c>
      <c r="AB102" s="224">
        <v>141407</v>
      </c>
    </row>
    <row r="103" spans="1:28" s="2" customFormat="1" ht="38.25" x14ac:dyDescent="0.2">
      <c r="A103" s="212" t="s">
        <v>209</v>
      </c>
      <c r="B103" s="58" t="s">
        <v>108</v>
      </c>
      <c r="C103" s="58" t="s">
        <v>74</v>
      </c>
      <c r="D103" s="58" t="s">
        <v>72</v>
      </c>
      <c r="E103" s="103" t="s">
        <v>1</v>
      </c>
      <c r="F103" s="70" t="s">
        <v>135</v>
      </c>
      <c r="G103" s="66" t="s">
        <v>135</v>
      </c>
      <c r="H103" s="66" t="s">
        <v>135</v>
      </c>
      <c r="I103" s="71" t="s">
        <v>219</v>
      </c>
      <c r="J103" s="67" t="s">
        <v>135</v>
      </c>
      <c r="K103" s="372" t="s">
        <v>156</v>
      </c>
      <c r="L103" s="64">
        <v>91300</v>
      </c>
      <c r="M103" s="65">
        <v>0</v>
      </c>
      <c r="N103" s="224">
        <v>257947</v>
      </c>
      <c r="O103" s="224">
        <v>-125697</v>
      </c>
      <c r="P103" s="224">
        <f>O103+N103</f>
        <v>132250</v>
      </c>
      <c r="Q103" s="223">
        <v>265855</v>
      </c>
      <c r="R103" s="224">
        <v>-129174</v>
      </c>
      <c r="S103" s="224">
        <v>0</v>
      </c>
      <c r="T103" s="224">
        <v>132250</v>
      </c>
      <c r="U103" s="225">
        <f>R103+Q103</f>
        <v>136681</v>
      </c>
      <c r="V103" s="224">
        <v>274774</v>
      </c>
      <c r="W103" s="223">
        <v>-133367</v>
      </c>
      <c r="X103" s="223">
        <v>0</v>
      </c>
      <c r="Y103" s="224">
        <v>136681</v>
      </c>
      <c r="Z103" s="225">
        <f>W103+V103</f>
        <v>141407</v>
      </c>
      <c r="AA103" s="224">
        <v>0</v>
      </c>
      <c r="AB103" s="224">
        <v>141407</v>
      </c>
    </row>
    <row r="104" spans="1:28" s="2" customFormat="1" x14ac:dyDescent="0.2">
      <c r="A104" s="212" t="s">
        <v>62</v>
      </c>
      <c r="B104" s="58" t="s">
        <v>108</v>
      </c>
      <c r="C104" s="58" t="s">
        <v>74</v>
      </c>
      <c r="D104" s="58" t="s">
        <v>72</v>
      </c>
      <c r="E104" s="103" t="s">
        <v>1</v>
      </c>
      <c r="F104" s="70" t="s">
        <v>135</v>
      </c>
      <c r="G104" s="66" t="s">
        <v>135</v>
      </c>
      <c r="H104" s="66" t="s">
        <v>135</v>
      </c>
      <c r="I104" s="71" t="s">
        <v>219</v>
      </c>
      <c r="J104" s="67" t="s">
        <v>135</v>
      </c>
      <c r="K104" s="372" t="s">
        <v>63</v>
      </c>
      <c r="L104" s="64">
        <f t="shared" ref="L104:AB104" si="34">L105</f>
        <v>90974</v>
      </c>
      <c r="M104" s="65">
        <f t="shared" si="34"/>
        <v>0.08</v>
      </c>
      <c r="N104" s="224">
        <f t="shared" si="34"/>
        <v>257948</v>
      </c>
      <c r="O104" s="224">
        <f t="shared" si="34"/>
        <v>-125698</v>
      </c>
      <c r="P104" s="224">
        <f t="shared" si="34"/>
        <v>132250</v>
      </c>
      <c r="Q104" s="223">
        <f t="shared" si="34"/>
        <v>265857</v>
      </c>
      <c r="R104" s="224">
        <f t="shared" si="34"/>
        <v>-129174</v>
      </c>
      <c r="S104" s="224">
        <f t="shared" si="34"/>
        <v>0</v>
      </c>
      <c r="T104" s="224">
        <f t="shared" si="34"/>
        <v>132250</v>
      </c>
      <c r="U104" s="225">
        <f t="shared" si="34"/>
        <v>136683</v>
      </c>
      <c r="V104" s="224">
        <f t="shared" si="34"/>
        <v>274773</v>
      </c>
      <c r="W104" s="223">
        <f t="shared" si="34"/>
        <v>-133370</v>
      </c>
      <c r="X104" s="223">
        <f>X105</f>
        <v>0</v>
      </c>
      <c r="Y104" s="224">
        <f t="shared" si="34"/>
        <v>136683</v>
      </c>
      <c r="Z104" s="225">
        <f t="shared" si="34"/>
        <v>141403</v>
      </c>
      <c r="AA104" s="224">
        <f t="shared" si="34"/>
        <v>0</v>
      </c>
      <c r="AB104" s="224">
        <f t="shared" si="34"/>
        <v>141403</v>
      </c>
    </row>
    <row r="105" spans="1:28" s="2" customFormat="1" ht="38.25" x14ac:dyDescent="0.2">
      <c r="A105" s="212" t="s">
        <v>168</v>
      </c>
      <c r="B105" s="58" t="s">
        <v>108</v>
      </c>
      <c r="C105" s="58" t="s">
        <v>74</v>
      </c>
      <c r="D105" s="58" t="s">
        <v>72</v>
      </c>
      <c r="E105" s="103" t="s">
        <v>1</v>
      </c>
      <c r="F105" s="70" t="s">
        <v>135</v>
      </c>
      <c r="G105" s="66" t="s">
        <v>135</v>
      </c>
      <c r="H105" s="66" t="s">
        <v>135</v>
      </c>
      <c r="I105" s="71" t="s">
        <v>219</v>
      </c>
      <c r="J105" s="67" t="s">
        <v>135</v>
      </c>
      <c r="K105" s="372" t="s">
        <v>140</v>
      </c>
      <c r="L105" s="64">
        <v>90974</v>
      </c>
      <c r="M105" s="65">
        <v>0.08</v>
      </c>
      <c r="N105" s="224">
        <v>257948</v>
      </c>
      <c r="O105" s="224">
        <v>-125698</v>
      </c>
      <c r="P105" s="224">
        <f>O105+N105</f>
        <v>132250</v>
      </c>
      <c r="Q105" s="223">
        <v>265857</v>
      </c>
      <c r="R105" s="224">
        <v>-129174</v>
      </c>
      <c r="S105" s="224">
        <v>0</v>
      </c>
      <c r="T105" s="224">
        <v>132250</v>
      </c>
      <c r="U105" s="225">
        <f>R105+Q105</f>
        <v>136683</v>
      </c>
      <c r="V105" s="224">
        <v>274773</v>
      </c>
      <c r="W105" s="223">
        <v>-133370</v>
      </c>
      <c r="X105" s="223">
        <v>0</v>
      </c>
      <c r="Y105" s="224">
        <v>136683</v>
      </c>
      <c r="Z105" s="225">
        <f>W105+V105</f>
        <v>141403</v>
      </c>
      <c r="AA105" s="224">
        <v>0</v>
      </c>
      <c r="AB105" s="224">
        <v>141403</v>
      </c>
    </row>
    <row r="106" spans="1:28" s="2" customFormat="1" ht="135" customHeight="1" x14ac:dyDescent="0.2">
      <c r="A106" s="212" t="s">
        <v>444</v>
      </c>
      <c r="B106" s="58" t="s">
        <v>108</v>
      </c>
      <c r="C106" s="58" t="s">
        <v>74</v>
      </c>
      <c r="D106" s="58" t="s">
        <v>72</v>
      </c>
      <c r="E106" s="103" t="s">
        <v>1</v>
      </c>
      <c r="F106" s="70" t="s">
        <v>135</v>
      </c>
      <c r="G106" s="66" t="s">
        <v>402</v>
      </c>
      <c r="H106" s="66" t="s">
        <v>133</v>
      </c>
      <c r="I106" s="71" t="s">
        <v>440</v>
      </c>
      <c r="J106" s="67" t="s">
        <v>133</v>
      </c>
      <c r="K106" s="372"/>
      <c r="L106" s="64">
        <v>91300</v>
      </c>
      <c r="M106" s="65">
        <v>0</v>
      </c>
      <c r="N106" s="224">
        <v>257947</v>
      </c>
      <c r="O106" s="224">
        <v>-125697</v>
      </c>
      <c r="P106" s="224">
        <f>P107</f>
        <v>0</v>
      </c>
      <c r="Q106" s="223">
        <v>265855</v>
      </c>
      <c r="R106" s="224">
        <v>-129174</v>
      </c>
      <c r="S106" s="224">
        <f>S107</f>
        <v>368640.8</v>
      </c>
      <c r="T106" s="224">
        <f>T107</f>
        <v>368640.8</v>
      </c>
      <c r="U106" s="225">
        <f>U107</f>
        <v>0</v>
      </c>
      <c r="V106" s="223">
        <v>265855</v>
      </c>
      <c r="W106" s="224">
        <v>-129174</v>
      </c>
      <c r="X106" s="223">
        <f>X107</f>
        <v>0</v>
      </c>
      <c r="Y106" s="224">
        <f>Y107</f>
        <v>0</v>
      </c>
      <c r="Z106" s="225">
        <f t="shared" ref="Z106:AB106" si="35">Z107</f>
        <v>0</v>
      </c>
      <c r="AA106" s="224">
        <f t="shared" si="35"/>
        <v>0</v>
      </c>
      <c r="AB106" s="224">
        <f t="shared" si="35"/>
        <v>0</v>
      </c>
    </row>
    <row r="107" spans="1:28" s="2" customFormat="1" ht="25.5" x14ac:dyDescent="0.2">
      <c r="A107" s="212" t="s">
        <v>21</v>
      </c>
      <c r="B107" s="58" t="s">
        <v>108</v>
      </c>
      <c r="C107" s="58" t="s">
        <v>74</v>
      </c>
      <c r="D107" s="58" t="s">
        <v>72</v>
      </c>
      <c r="E107" s="103" t="s">
        <v>1</v>
      </c>
      <c r="F107" s="70" t="s">
        <v>135</v>
      </c>
      <c r="G107" s="66" t="s">
        <v>402</v>
      </c>
      <c r="H107" s="66" t="s">
        <v>133</v>
      </c>
      <c r="I107" s="71" t="s">
        <v>440</v>
      </c>
      <c r="J107" s="67" t="s">
        <v>133</v>
      </c>
      <c r="K107" s="372" t="s">
        <v>149</v>
      </c>
      <c r="L107" s="64">
        <f t="shared" ref="L107:AB107" si="36">L108</f>
        <v>90974</v>
      </c>
      <c r="M107" s="65">
        <f t="shared" si="36"/>
        <v>0.08</v>
      </c>
      <c r="N107" s="224">
        <f t="shared" si="36"/>
        <v>257948</v>
      </c>
      <c r="O107" s="224">
        <f t="shared" si="36"/>
        <v>-125698</v>
      </c>
      <c r="P107" s="224">
        <f t="shared" si="36"/>
        <v>0</v>
      </c>
      <c r="Q107" s="223">
        <f t="shared" si="36"/>
        <v>265857</v>
      </c>
      <c r="R107" s="224">
        <f t="shared" si="36"/>
        <v>-129174</v>
      </c>
      <c r="S107" s="224">
        <f>S108</f>
        <v>368640.8</v>
      </c>
      <c r="T107" s="224">
        <f t="shared" si="36"/>
        <v>368640.8</v>
      </c>
      <c r="U107" s="225">
        <f t="shared" si="36"/>
        <v>0</v>
      </c>
      <c r="V107" s="223">
        <f t="shared" si="36"/>
        <v>265857</v>
      </c>
      <c r="W107" s="224">
        <f t="shared" si="36"/>
        <v>-129174</v>
      </c>
      <c r="X107" s="223">
        <f>X108</f>
        <v>0</v>
      </c>
      <c r="Y107" s="224">
        <f t="shared" si="36"/>
        <v>0</v>
      </c>
      <c r="Z107" s="225">
        <f t="shared" si="36"/>
        <v>0</v>
      </c>
      <c r="AA107" s="224">
        <f t="shared" si="36"/>
        <v>0</v>
      </c>
      <c r="AB107" s="224">
        <f t="shared" si="36"/>
        <v>0</v>
      </c>
    </row>
    <row r="108" spans="1:28" s="2" customFormat="1" ht="22.5" customHeight="1" x14ac:dyDescent="0.2">
      <c r="A108" s="212" t="s">
        <v>22</v>
      </c>
      <c r="B108" s="58" t="s">
        <v>108</v>
      </c>
      <c r="C108" s="58" t="s">
        <v>74</v>
      </c>
      <c r="D108" s="58" t="s">
        <v>72</v>
      </c>
      <c r="E108" s="103" t="s">
        <v>1</v>
      </c>
      <c r="F108" s="70" t="s">
        <v>135</v>
      </c>
      <c r="G108" s="66" t="s">
        <v>402</v>
      </c>
      <c r="H108" s="66" t="s">
        <v>133</v>
      </c>
      <c r="I108" s="71" t="s">
        <v>440</v>
      </c>
      <c r="J108" s="67" t="s">
        <v>133</v>
      </c>
      <c r="K108" s="372" t="s">
        <v>23</v>
      </c>
      <c r="L108" s="64">
        <v>90974</v>
      </c>
      <c r="M108" s="65">
        <v>0.08</v>
      </c>
      <c r="N108" s="224">
        <v>257948</v>
      </c>
      <c r="O108" s="224">
        <v>-125698</v>
      </c>
      <c r="P108" s="224">
        <v>0</v>
      </c>
      <c r="Q108" s="223">
        <v>265857</v>
      </c>
      <c r="R108" s="224">
        <v>-129174</v>
      </c>
      <c r="S108" s="224">
        <v>368640.8</v>
      </c>
      <c r="T108" s="224">
        <f>S108</f>
        <v>368640.8</v>
      </c>
      <c r="U108" s="225">
        <v>0</v>
      </c>
      <c r="V108" s="223">
        <v>265857</v>
      </c>
      <c r="W108" s="224">
        <v>-129174</v>
      </c>
      <c r="X108" s="223">
        <v>0</v>
      </c>
      <c r="Y108" s="224">
        <f>X108</f>
        <v>0</v>
      </c>
      <c r="Z108" s="225">
        <f t="shared" ref="Z108:AB108" si="37">Y108</f>
        <v>0</v>
      </c>
      <c r="AA108" s="224">
        <f t="shared" si="37"/>
        <v>0</v>
      </c>
      <c r="AB108" s="224">
        <f t="shared" si="37"/>
        <v>0</v>
      </c>
    </row>
    <row r="109" spans="1:28" s="2" customFormat="1" ht="89.25" x14ac:dyDescent="0.2">
      <c r="A109" s="207" t="s">
        <v>276</v>
      </c>
      <c r="B109" s="58" t="s">
        <v>108</v>
      </c>
      <c r="C109" s="58" t="s">
        <v>74</v>
      </c>
      <c r="D109" s="58" t="s">
        <v>72</v>
      </c>
      <c r="E109" s="103" t="s">
        <v>1</v>
      </c>
      <c r="F109" s="70" t="s">
        <v>135</v>
      </c>
      <c r="G109" s="66" t="s">
        <v>135</v>
      </c>
      <c r="H109" s="66" t="s">
        <v>135</v>
      </c>
      <c r="I109" s="71" t="s">
        <v>277</v>
      </c>
      <c r="J109" s="67" t="s">
        <v>135</v>
      </c>
      <c r="K109" s="372"/>
      <c r="L109" s="68">
        <f t="shared" ref="L109:AB110" si="38">L110</f>
        <v>1500000</v>
      </c>
      <c r="M109" s="69">
        <f t="shared" si="38"/>
        <v>0</v>
      </c>
      <c r="N109" s="216">
        <f t="shared" si="38"/>
        <v>1800000</v>
      </c>
      <c r="O109" s="216">
        <f t="shared" si="38"/>
        <v>0</v>
      </c>
      <c r="P109" s="216">
        <f t="shared" si="38"/>
        <v>1800000</v>
      </c>
      <c r="Q109" s="215">
        <f t="shared" si="38"/>
        <v>1800000</v>
      </c>
      <c r="R109" s="216">
        <f t="shared" si="38"/>
        <v>0</v>
      </c>
      <c r="S109" s="216">
        <f t="shared" si="38"/>
        <v>0</v>
      </c>
      <c r="T109" s="216">
        <f t="shared" si="38"/>
        <v>1800000</v>
      </c>
      <c r="U109" s="217">
        <f t="shared" si="38"/>
        <v>1800000</v>
      </c>
      <c r="V109" s="216">
        <f t="shared" si="38"/>
        <v>1800000</v>
      </c>
      <c r="W109" s="215">
        <f t="shared" si="38"/>
        <v>0</v>
      </c>
      <c r="X109" s="215">
        <f t="shared" si="38"/>
        <v>0</v>
      </c>
      <c r="Y109" s="216">
        <f t="shared" si="38"/>
        <v>1800000</v>
      </c>
      <c r="Z109" s="217">
        <f t="shared" si="38"/>
        <v>1800000</v>
      </c>
      <c r="AA109" s="216">
        <f t="shared" si="38"/>
        <v>0</v>
      </c>
      <c r="AB109" s="216">
        <f t="shared" si="38"/>
        <v>1800000</v>
      </c>
    </row>
    <row r="110" spans="1:28" s="2" customFormat="1" ht="25.5" x14ac:dyDescent="0.2">
      <c r="A110" s="212" t="s">
        <v>21</v>
      </c>
      <c r="B110" s="58" t="s">
        <v>108</v>
      </c>
      <c r="C110" s="58" t="s">
        <v>74</v>
      </c>
      <c r="D110" s="58" t="s">
        <v>72</v>
      </c>
      <c r="E110" s="103" t="s">
        <v>1</v>
      </c>
      <c r="F110" s="70" t="s">
        <v>135</v>
      </c>
      <c r="G110" s="66" t="s">
        <v>135</v>
      </c>
      <c r="H110" s="66" t="s">
        <v>135</v>
      </c>
      <c r="I110" s="71" t="s">
        <v>277</v>
      </c>
      <c r="J110" s="67" t="s">
        <v>135</v>
      </c>
      <c r="K110" s="372" t="s">
        <v>149</v>
      </c>
      <c r="L110" s="68">
        <f t="shared" si="38"/>
        <v>1500000</v>
      </c>
      <c r="M110" s="69">
        <f t="shared" si="38"/>
        <v>0</v>
      </c>
      <c r="N110" s="216">
        <f t="shared" si="38"/>
        <v>1800000</v>
      </c>
      <c r="O110" s="216">
        <f t="shared" si="38"/>
        <v>0</v>
      </c>
      <c r="P110" s="216">
        <f t="shared" si="38"/>
        <v>1800000</v>
      </c>
      <c r="Q110" s="215">
        <f t="shared" si="38"/>
        <v>1800000</v>
      </c>
      <c r="R110" s="216">
        <f t="shared" si="38"/>
        <v>0</v>
      </c>
      <c r="S110" s="216">
        <f t="shared" si="38"/>
        <v>0</v>
      </c>
      <c r="T110" s="216">
        <f t="shared" si="38"/>
        <v>1800000</v>
      </c>
      <c r="U110" s="217">
        <f t="shared" si="38"/>
        <v>1800000</v>
      </c>
      <c r="V110" s="216">
        <f t="shared" si="38"/>
        <v>1800000</v>
      </c>
      <c r="W110" s="215">
        <f t="shared" si="38"/>
        <v>0</v>
      </c>
      <c r="X110" s="215">
        <f t="shared" si="38"/>
        <v>0</v>
      </c>
      <c r="Y110" s="216">
        <f t="shared" si="38"/>
        <v>1800000</v>
      </c>
      <c r="Z110" s="217">
        <f t="shared" si="38"/>
        <v>1800000</v>
      </c>
      <c r="AA110" s="216">
        <f t="shared" si="38"/>
        <v>0</v>
      </c>
      <c r="AB110" s="216">
        <f t="shared" si="38"/>
        <v>1800000</v>
      </c>
    </row>
    <row r="111" spans="1:28" s="2" customFormat="1" x14ac:dyDescent="0.2">
      <c r="A111" s="212" t="s">
        <v>22</v>
      </c>
      <c r="B111" s="58" t="s">
        <v>108</v>
      </c>
      <c r="C111" s="58" t="s">
        <v>74</v>
      </c>
      <c r="D111" s="58" t="s">
        <v>72</v>
      </c>
      <c r="E111" s="103" t="s">
        <v>1</v>
      </c>
      <c r="F111" s="70" t="s">
        <v>135</v>
      </c>
      <c r="G111" s="66" t="s">
        <v>135</v>
      </c>
      <c r="H111" s="66" t="s">
        <v>135</v>
      </c>
      <c r="I111" s="71" t="s">
        <v>277</v>
      </c>
      <c r="J111" s="67" t="s">
        <v>135</v>
      </c>
      <c r="K111" s="372" t="s">
        <v>23</v>
      </c>
      <c r="L111" s="68">
        <v>1500000</v>
      </c>
      <c r="M111" s="69">
        <v>0</v>
      </c>
      <c r="N111" s="216">
        <v>1800000</v>
      </c>
      <c r="O111" s="216">
        <v>0</v>
      </c>
      <c r="P111" s="216">
        <v>1800000</v>
      </c>
      <c r="Q111" s="215">
        <v>1800000</v>
      </c>
      <c r="R111" s="216">
        <v>0</v>
      </c>
      <c r="S111" s="216">
        <v>0</v>
      </c>
      <c r="T111" s="216">
        <v>1800000</v>
      </c>
      <c r="U111" s="217">
        <v>1800000</v>
      </c>
      <c r="V111" s="216">
        <v>1800000</v>
      </c>
      <c r="W111" s="215">
        <v>0</v>
      </c>
      <c r="X111" s="215">
        <v>0</v>
      </c>
      <c r="Y111" s="216">
        <v>1800000</v>
      </c>
      <c r="Z111" s="217">
        <v>1800000</v>
      </c>
      <c r="AA111" s="216">
        <v>0</v>
      </c>
      <c r="AB111" s="216">
        <v>1800000</v>
      </c>
    </row>
    <row r="112" spans="1:28" s="2" customFormat="1" ht="38.25" x14ac:dyDescent="0.2">
      <c r="A112" s="212" t="s">
        <v>347</v>
      </c>
      <c r="B112" s="58" t="s">
        <v>108</v>
      </c>
      <c r="C112" s="58" t="s">
        <v>74</v>
      </c>
      <c r="D112" s="58" t="s">
        <v>72</v>
      </c>
      <c r="E112" s="117" t="s">
        <v>1</v>
      </c>
      <c r="F112" s="73" t="s">
        <v>135</v>
      </c>
      <c r="G112" s="66" t="s">
        <v>135</v>
      </c>
      <c r="H112" s="66" t="s">
        <v>135</v>
      </c>
      <c r="I112" s="74" t="s">
        <v>389</v>
      </c>
      <c r="J112" s="67" t="s">
        <v>135</v>
      </c>
      <c r="K112" s="372"/>
      <c r="L112" s="68">
        <f t="shared" ref="L112:AB113" si="39">L113</f>
        <v>135143500</v>
      </c>
      <c r="M112" s="69">
        <f t="shared" si="39"/>
        <v>0</v>
      </c>
      <c r="N112" s="216">
        <f t="shared" si="39"/>
        <v>175000000</v>
      </c>
      <c r="O112" s="216">
        <f t="shared" si="39"/>
        <v>0</v>
      </c>
      <c r="P112" s="216">
        <f t="shared" si="39"/>
        <v>631000</v>
      </c>
      <c r="Q112" s="215">
        <f t="shared" si="39"/>
        <v>184000000</v>
      </c>
      <c r="R112" s="216">
        <f t="shared" si="39"/>
        <v>0</v>
      </c>
      <c r="S112" s="216">
        <f t="shared" si="39"/>
        <v>0</v>
      </c>
      <c r="T112" s="216">
        <f t="shared" si="39"/>
        <v>631000</v>
      </c>
      <c r="U112" s="217">
        <f t="shared" si="39"/>
        <v>0</v>
      </c>
      <c r="V112" s="216">
        <f t="shared" si="39"/>
        <v>190000000</v>
      </c>
      <c r="W112" s="215">
        <f t="shared" si="39"/>
        <v>0</v>
      </c>
      <c r="X112" s="215">
        <f t="shared" si="39"/>
        <v>0</v>
      </c>
      <c r="Y112" s="216">
        <f t="shared" si="39"/>
        <v>0</v>
      </c>
      <c r="Z112" s="217">
        <f t="shared" si="39"/>
        <v>0</v>
      </c>
      <c r="AA112" s="216">
        <f t="shared" si="39"/>
        <v>0</v>
      </c>
      <c r="AB112" s="216">
        <f t="shared" si="39"/>
        <v>0</v>
      </c>
    </row>
    <row r="113" spans="1:28" s="2" customFormat="1" ht="25.5" x14ac:dyDescent="0.2">
      <c r="A113" s="212" t="s">
        <v>21</v>
      </c>
      <c r="B113" s="58" t="s">
        <v>108</v>
      </c>
      <c r="C113" s="58" t="s">
        <v>74</v>
      </c>
      <c r="D113" s="58" t="s">
        <v>72</v>
      </c>
      <c r="E113" s="117" t="s">
        <v>1</v>
      </c>
      <c r="F113" s="73" t="s">
        <v>135</v>
      </c>
      <c r="G113" s="66" t="s">
        <v>135</v>
      </c>
      <c r="H113" s="66" t="s">
        <v>135</v>
      </c>
      <c r="I113" s="74" t="s">
        <v>389</v>
      </c>
      <c r="J113" s="67" t="s">
        <v>135</v>
      </c>
      <c r="K113" s="372">
        <v>600</v>
      </c>
      <c r="L113" s="68">
        <f t="shared" si="39"/>
        <v>135143500</v>
      </c>
      <c r="M113" s="69">
        <f t="shared" si="39"/>
        <v>0</v>
      </c>
      <c r="N113" s="216">
        <f t="shared" si="39"/>
        <v>175000000</v>
      </c>
      <c r="O113" s="216">
        <f t="shared" si="39"/>
        <v>0</v>
      </c>
      <c r="P113" s="216">
        <f t="shared" si="39"/>
        <v>631000</v>
      </c>
      <c r="Q113" s="215">
        <f t="shared" si="39"/>
        <v>184000000</v>
      </c>
      <c r="R113" s="216">
        <f t="shared" si="39"/>
        <v>0</v>
      </c>
      <c r="S113" s="216">
        <f t="shared" si="39"/>
        <v>0</v>
      </c>
      <c r="T113" s="216">
        <f t="shared" si="39"/>
        <v>631000</v>
      </c>
      <c r="U113" s="217">
        <f t="shared" si="39"/>
        <v>0</v>
      </c>
      <c r="V113" s="216">
        <f t="shared" si="39"/>
        <v>190000000</v>
      </c>
      <c r="W113" s="215">
        <f t="shared" si="39"/>
        <v>0</v>
      </c>
      <c r="X113" s="215">
        <f t="shared" si="39"/>
        <v>0</v>
      </c>
      <c r="Y113" s="216">
        <f t="shared" si="39"/>
        <v>0</v>
      </c>
      <c r="Z113" s="217">
        <f t="shared" si="39"/>
        <v>0</v>
      </c>
      <c r="AA113" s="216">
        <f t="shared" si="39"/>
        <v>0</v>
      </c>
      <c r="AB113" s="216">
        <f t="shared" si="39"/>
        <v>0</v>
      </c>
    </row>
    <row r="114" spans="1:28" s="2" customFormat="1" x14ac:dyDescent="0.2">
      <c r="A114" s="212" t="s">
        <v>22</v>
      </c>
      <c r="B114" s="58" t="s">
        <v>108</v>
      </c>
      <c r="C114" s="58" t="s">
        <v>74</v>
      </c>
      <c r="D114" s="58" t="s">
        <v>72</v>
      </c>
      <c r="E114" s="117" t="s">
        <v>1</v>
      </c>
      <c r="F114" s="73" t="s">
        <v>135</v>
      </c>
      <c r="G114" s="66" t="s">
        <v>135</v>
      </c>
      <c r="H114" s="66" t="s">
        <v>135</v>
      </c>
      <c r="I114" s="74" t="s">
        <v>389</v>
      </c>
      <c r="J114" s="67" t="s">
        <v>135</v>
      </c>
      <c r="K114" s="372" t="s">
        <v>23</v>
      </c>
      <c r="L114" s="68">
        <v>135143500</v>
      </c>
      <c r="M114" s="69">
        <v>0</v>
      </c>
      <c r="N114" s="216">
        <v>175000000</v>
      </c>
      <c r="O114" s="216">
        <v>0</v>
      </c>
      <c r="P114" s="216">
        <v>631000</v>
      </c>
      <c r="Q114" s="215">
        <v>184000000</v>
      </c>
      <c r="R114" s="216">
        <v>0</v>
      </c>
      <c r="S114" s="216">
        <v>0</v>
      </c>
      <c r="T114" s="216">
        <f>P114</f>
        <v>631000</v>
      </c>
      <c r="U114" s="217">
        <v>0</v>
      </c>
      <c r="V114" s="216">
        <v>190000000</v>
      </c>
      <c r="W114" s="215">
        <v>0</v>
      </c>
      <c r="X114" s="215">
        <v>0</v>
      </c>
      <c r="Y114" s="216">
        <v>0</v>
      </c>
      <c r="Z114" s="217">
        <v>0</v>
      </c>
      <c r="AA114" s="216">
        <v>0</v>
      </c>
      <c r="AB114" s="216">
        <v>0</v>
      </c>
    </row>
    <row r="115" spans="1:28" s="2" customFormat="1" x14ac:dyDescent="0.2">
      <c r="A115" s="207" t="s">
        <v>180</v>
      </c>
      <c r="B115" s="58" t="s">
        <v>108</v>
      </c>
      <c r="C115" s="77" t="s">
        <v>74</v>
      </c>
      <c r="D115" s="77" t="s">
        <v>74</v>
      </c>
      <c r="E115" s="77"/>
      <c r="F115" s="79"/>
      <c r="G115" s="66"/>
      <c r="H115" s="66"/>
      <c r="I115" s="79"/>
      <c r="J115" s="80"/>
      <c r="K115" s="291"/>
      <c r="L115" s="68" t="e">
        <f>#REF!+L116</f>
        <v>#REF!</v>
      </c>
      <c r="M115" s="69" t="e">
        <f>#REF!+M116</f>
        <v>#REF!</v>
      </c>
      <c r="N115" s="216">
        <f>N116</f>
        <v>0</v>
      </c>
      <c r="O115" s="216">
        <f>O116</f>
        <v>0</v>
      </c>
      <c r="P115" s="216">
        <f>P116+P121</f>
        <v>4197244.16</v>
      </c>
      <c r="Q115" s="216">
        <f t="shared" ref="Q115:AB115" si="40">Q116+Q121</f>
        <v>300000</v>
      </c>
      <c r="R115" s="216">
        <f t="shared" si="40"/>
        <v>4396968.58</v>
      </c>
      <c r="S115" s="216">
        <f t="shared" si="40"/>
        <v>0</v>
      </c>
      <c r="T115" s="216">
        <f t="shared" si="40"/>
        <v>4197244.16</v>
      </c>
      <c r="U115" s="217">
        <f t="shared" si="40"/>
        <v>4297244.16</v>
      </c>
      <c r="V115" s="216">
        <f t="shared" si="40"/>
        <v>4297244.16</v>
      </c>
      <c r="W115" s="216">
        <f t="shared" si="40"/>
        <v>0</v>
      </c>
      <c r="X115" s="215">
        <f t="shared" si="40"/>
        <v>0</v>
      </c>
      <c r="Y115" s="216">
        <f t="shared" si="40"/>
        <v>4297244.16</v>
      </c>
      <c r="Z115" s="217">
        <f t="shared" si="40"/>
        <v>5132268.84</v>
      </c>
      <c r="AA115" s="216">
        <f t="shared" si="40"/>
        <v>0</v>
      </c>
      <c r="AB115" s="216">
        <f t="shared" si="40"/>
        <v>5132268.84</v>
      </c>
    </row>
    <row r="116" spans="1:28" s="2" customFormat="1" ht="38.25" x14ac:dyDescent="0.2">
      <c r="A116" s="226" t="s">
        <v>379</v>
      </c>
      <c r="B116" s="58" t="s">
        <v>108</v>
      </c>
      <c r="C116" s="58" t="s">
        <v>74</v>
      </c>
      <c r="D116" s="77" t="s">
        <v>74</v>
      </c>
      <c r="E116" s="104" t="s">
        <v>74</v>
      </c>
      <c r="F116" s="81" t="s">
        <v>135</v>
      </c>
      <c r="G116" s="66" t="s">
        <v>135</v>
      </c>
      <c r="H116" s="66" t="s">
        <v>135</v>
      </c>
      <c r="I116" s="81" t="s">
        <v>136</v>
      </c>
      <c r="J116" s="67" t="s">
        <v>135</v>
      </c>
      <c r="K116" s="292"/>
      <c r="L116" s="68">
        <f t="shared" ref="L116:P119" si="41">L117</f>
        <v>200000</v>
      </c>
      <c r="M116" s="69">
        <f t="shared" si="41"/>
        <v>0</v>
      </c>
      <c r="N116" s="216">
        <f t="shared" si="41"/>
        <v>0</v>
      </c>
      <c r="O116" s="216">
        <f t="shared" si="41"/>
        <v>0</v>
      </c>
      <c r="P116" s="216">
        <f t="shared" si="41"/>
        <v>200000</v>
      </c>
      <c r="Q116" s="215">
        <f t="shared" ref="Q116:AB119" si="42">Q117</f>
        <v>300000</v>
      </c>
      <c r="R116" s="216">
        <f t="shared" si="42"/>
        <v>0</v>
      </c>
      <c r="S116" s="216">
        <f t="shared" ref="S116:T119" si="43">S117</f>
        <v>0</v>
      </c>
      <c r="T116" s="216">
        <f t="shared" si="43"/>
        <v>200000</v>
      </c>
      <c r="U116" s="217">
        <f t="shared" si="42"/>
        <v>300000</v>
      </c>
      <c r="V116" s="216">
        <f t="shared" si="42"/>
        <v>300000</v>
      </c>
      <c r="W116" s="215">
        <f t="shared" si="42"/>
        <v>0</v>
      </c>
      <c r="X116" s="215">
        <f t="shared" si="42"/>
        <v>0</v>
      </c>
      <c r="Y116" s="216">
        <f t="shared" si="42"/>
        <v>300000</v>
      </c>
      <c r="Z116" s="217">
        <f t="shared" si="42"/>
        <v>300000</v>
      </c>
      <c r="AA116" s="216">
        <f t="shared" si="42"/>
        <v>0</v>
      </c>
      <c r="AB116" s="216">
        <f t="shared" si="42"/>
        <v>300000</v>
      </c>
    </row>
    <row r="117" spans="1:28" s="2" customFormat="1" ht="38.25" x14ac:dyDescent="0.2">
      <c r="A117" s="258" t="s">
        <v>381</v>
      </c>
      <c r="B117" s="58" t="s">
        <v>108</v>
      </c>
      <c r="C117" s="58" t="s">
        <v>74</v>
      </c>
      <c r="D117" s="77" t="s">
        <v>74</v>
      </c>
      <c r="E117" s="77" t="s">
        <v>74</v>
      </c>
      <c r="F117" s="79" t="s">
        <v>133</v>
      </c>
      <c r="G117" s="66" t="s">
        <v>135</v>
      </c>
      <c r="H117" s="66" t="s">
        <v>135</v>
      </c>
      <c r="I117" s="79" t="s">
        <v>136</v>
      </c>
      <c r="J117" s="67" t="s">
        <v>135</v>
      </c>
      <c r="K117" s="291"/>
      <c r="L117" s="68">
        <f t="shared" si="41"/>
        <v>200000</v>
      </c>
      <c r="M117" s="69">
        <f t="shared" si="41"/>
        <v>0</v>
      </c>
      <c r="N117" s="216">
        <f t="shared" si="41"/>
        <v>0</v>
      </c>
      <c r="O117" s="216">
        <f t="shared" si="41"/>
        <v>0</v>
      </c>
      <c r="P117" s="216">
        <f t="shared" si="41"/>
        <v>200000</v>
      </c>
      <c r="Q117" s="68">
        <f t="shared" si="42"/>
        <v>300000</v>
      </c>
      <c r="R117" s="216">
        <f t="shared" si="42"/>
        <v>0</v>
      </c>
      <c r="S117" s="216">
        <f t="shared" si="43"/>
        <v>0</v>
      </c>
      <c r="T117" s="216">
        <f t="shared" si="43"/>
        <v>200000</v>
      </c>
      <c r="U117" s="217">
        <f t="shared" si="42"/>
        <v>300000</v>
      </c>
      <c r="V117" s="216">
        <f t="shared" si="42"/>
        <v>300000</v>
      </c>
      <c r="W117" s="215">
        <f t="shared" si="42"/>
        <v>0</v>
      </c>
      <c r="X117" s="215">
        <f t="shared" si="42"/>
        <v>0</v>
      </c>
      <c r="Y117" s="216">
        <f t="shared" si="42"/>
        <v>300000</v>
      </c>
      <c r="Z117" s="217">
        <f t="shared" si="42"/>
        <v>300000</v>
      </c>
      <c r="AA117" s="216">
        <f t="shared" si="42"/>
        <v>0</v>
      </c>
      <c r="AB117" s="216">
        <f t="shared" si="42"/>
        <v>300000</v>
      </c>
    </row>
    <row r="118" spans="1:28" s="2" customFormat="1" ht="21" customHeight="1" x14ac:dyDescent="0.2">
      <c r="A118" s="258" t="s">
        <v>224</v>
      </c>
      <c r="B118" s="58" t="s">
        <v>108</v>
      </c>
      <c r="C118" s="58" t="s">
        <v>74</v>
      </c>
      <c r="D118" s="77" t="s">
        <v>74</v>
      </c>
      <c r="E118" s="77" t="s">
        <v>74</v>
      </c>
      <c r="F118" s="79" t="s">
        <v>133</v>
      </c>
      <c r="G118" s="66" t="s">
        <v>135</v>
      </c>
      <c r="H118" s="66" t="s">
        <v>135</v>
      </c>
      <c r="I118" s="79" t="s">
        <v>14</v>
      </c>
      <c r="J118" s="67" t="s">
        <v>135</v>
      </c>
      <c r="K118" s="260"/>
      <c r="L118" s="68">
        <f t="shared" si="41"/>
        <v>200000</v>
      </c>
      <c r="M118" s="69">
        <f t="shared" si="41"/>
        <v>0</v>
      </c>
      <c r="N118" s="216">
        <f t="shared" si="41"/>
        <v>0</v>
      </c>
      <c r="O118" s="216">
        <f t="shared" si="41"/>
        <v>0</v>
      </c>
      <c r="P118" s="216">
        <f t="shared" si="41"/>
        <v>200000</v>
      </c>
      <c r="Q118" s="68">
        <f t="shared" si="42"/>
        <v>300000</v>
      </c>
      <c r="R118" s="215">
        <f t="shared" si="42"/>
        <v>0</v>
      </c>
      <c r="S118" s="216">
        <f t="shared" si="43"/>
        <v>0</v>
      </c>
      <c r="T118" s="216">
        <f t="shared" si="43"/>
        <v>200000</v>
      </c>
      <c r="U118" s="217">
        <f t="shared" si="42"/>
        <v>300000</v>
      </c>
      <c r="V118" s="217">
        <f t="shared" si="42"/>
        <v>300000</v>
      </c>
      <c r="W118" s="215">
        <f t="shared" si="42"/>
        <v>0</v>
      </c>
      <c r="X118" s="215">
        <f t="shared" si="42"/>
        <v>0</v>
      </c>
      <c r="Y118" s="216">
        <f t="shared" si="42"/>
        <v>300000</v>
      </c>
      <c r="Z118" s="217">
        <f t="shared" si="42"/>
        <v>300000</v>
      </c>
      <c r="AA118" s="216">
        <f t="shared" si="42"/>
        <v>0</v>
      </c>
      <c r="AB118" s="216">
        <f t="shared" si="42"/>
        <v>300000</v>
      </c>
    </row>
    <row r="119" spans="1:28" s="2" customFormat="1" ht="25.5" x14ac:dyDescent="0.2">
      <c r="A119" s="362" t="s">
        <v>21</v>
      </c>
      <c r="B119" s="60" t="s">
        <v>108</v>
      </c>
      <c r="C119" s="58" t="s">
        <v>74</v>
      </c>
      <c r="D119" s="77" t="s">
        <v>74</v>
      </c>
      <c r="E119" s="77" t="s">
        <v>74</v>
      </c>
      <c r="F119" s="79" t="s">
        <v>133</v>
      </c>
      <c r="G119" s="66" t="s">
        <v>135</v>
      </c>
      <c r="H119" s="66" t="s">
        <v>135</v>
      </c>
      <c r="I119" s="79" t="s">
        <v>14</v>
      </c>
      <c r="J119" s="67" t="s">
        <v>135</v>
      </c>
      <c r="K119" s="208">
        <v>600</v>
      </c>
      <c r="L119" s="68">
        <f t="shared" si="41"/>
        <v>200000</v>
      </c>
      <c r="M119" s="69">
        <f t="shared" si="41"/>
        <v>0</v>
      </c>
      <c r="N119" s="216">
        <f t="shared" si="41"/>
        <v>0</v>
      </c>
      <c r="O119" s="215">
        <f t="shared" si="41"/>
        <v>0</v>
      </c>
      <c r="P119" s="216">
        <f t="shared" si="41"/>
        <v>200000</v>
      </c>
      <c r="Q119" s="68">
        <f t="shared" si="42"/>
        <v>300000</v>
      </c>
      <c r="R119" s="215">
        <f t="shared" si="42"/>
        <v>0</v>
      </c>
      <c r="S119" s="216">
        <f t="shared" si="43"/>
        <v>0</v>
      </c>
      <c r="T119" s="216">
        <f t="shared" si="43"/>
        <v>200000</v>
      </c>
      <c r="U119" s="217">
        <f t="shared" si="42"/>
        <v>300000</v>
      </c>
      <c r="V119" s="217">
        <f t="shared" si="42"/>
        <v>300000</v>
      </c>
      <c r="W119" s="215">
        <f t="shared" si="42"/>
        <v>0</v>
      </c>
      <c r="X119" s="215">
        <f t="shared" si="42"/>
        <v>0</v>
      </c>
      <c r="Y119" s="216">
        <f t="shared" si="42"/>
        <v>300000</v>
      </c>
      <c r="Z119" s="217">
        <f t="shared" si="42"/>
        <v>300000</v>
      </c>
      <c r="AA119" s="216">
        <f t="shared" si="42"/>
        <v>0</v>
      </c>
      <c r="AB119" s="216">
        <f t="shared" si="42"/>
        <v>300000</v>
      </c>
    </row>
    <row r="120" spans="1:28" s="2" customFormat="1" x14ac:dyDescent="0.2">
      <c r="A120" s="362" t="s">
        <v>22</v>
      </c>
      <c r="B120" s="60" t="s">
        <v>108</v>
      </c>
      <c r="C120" s="58" t="s">
        <v>74</v>
      </c>
      <c r="D120" s="77" t="s">
        <v>74</v>
      </c>
      <c r="E120" s="77" t="s">
        <v>74</v>
      </c>
      <c r="F120" s="79" t="s">
        <v>133</v>
      </c>
      <c r="G120" s="66" t="s">
        <v>135</v>
      </c>
      <c r="H120" s="66" t="s">
        <v>135</v>
      </c>
      <c r="I120" s="79" t="s">
        <v>14</v>
      </c>
      <c r="J120" s="67" t="s">
        <v>135</v>
      </c>
      <c r="K120" s="208" t="s">
        <v>23</v>
      </c>
      <c r="L120" s="68">
        <v>200000</v>
      </c>
      <c r="M120" s="69">
        <v>0</v>
      </c>
      <c r="N120" s="216">
        <v>0</v>
      </c>
      <c r="O120" s="215">
        <v>0</v>
      </c>
      <c r="P120" s="216">
        <v>200000</v>
      </c>
      <c r="Q120" s="68">
        <v>300000</v>
      </c>
      <c r="R120" s="215">
        <v>0</v>
      </c>
      <c r="S120" s="216">
        <v>0</v>
      </c>
      <c r="T120" s="216">
        <f>P120</f>
        <v>200000</v>
      </c>
      <c r="U120" s="217">
        <v>300000</v>
      </c>
      <c r="V120" s="217">
        <v>300000</v>
      </c>
      <c r="W120" s="215">
        <v>0</v>
      </c>
      <c r="X120" s="215">
        <v>0</v>
      </c>
      <c r="Y120" s="216">
        <v>300000</v>
      </c>
      <c r="Z120" s="217">
        <v>300000</v>
      </c>
      <c r="AA120" s="216">
        <v>0</v>
      </c>
      <c r="AB120" s="216">
        <v>300000</v>
      </c>
    </row>
    <row r="121" spans="1:28" s="2" customFormat="1" ht="25.5" x14ac:dyDescent="0.2">
      <c r="A121" s="362" t="s">
        <v>312</v>
      </c>
      <c r="B121" s="60" t="s">
        <v>108</v>
      </c>
      <c r="C121" s="77" t="s">
        <v>74</v>
      </c>
      <c r="D121" s="78" t="s">
        <v>74</v>
      </c>
      <c r="E121" s="66" t="s">
        <v>1</v>
      </c>
      <c r="F121" s="66" t="s">
        <v>135</v>
      </c>
      <c r="G121" s="66" t="s">
        <v>135</v>
      </c>
      <c r="H121" s="66" t="s">
        <v>135</v>
      </c>
      <c r="I121" s="66" t="s">
        <v>136</v>
      </c>
      <c r="J121" s="67" t="s">
        <v>135</v>
      </c>
      <c r="K121" s="214"/>
      <c r="L121" s="68" t="e">
        <f>L125+L122</f>
        <v>#REF!</v>
      </c>
      <c r="M121" s="69" t="e">
        <f>M125+M122</f>
        <v>#REF!</v>
      </c>
      <c r="N121" s="502">
        <f>N122</f>
        <v>0</v>
      </c>
      <c r="O121" s="69">
        <f t="shared" ref="O121:V121" si="44">O122</f>
        <v>675816.12</v>
      </c>
      <c r="P121" s="216">
        <f t="shared" si="44"/>
        <v>3997244.16</v>
      </c>
      <c r="Q121" s="498">
        <f t="shared" si="44"/>
        <v>0</v>
      </c>
      <c r="R121" s="69">
        <f t="shared" si="44"/>
        <v>4396968.58</v>
      </c>
      <c r="S121" s="216">
        <f t="shared" si="44"/>
        <v>0</v>
      </c>
      <c r="T121" s="216">
        <f t="shared" si="44"/>
        <v>3997244.16</v>
      </c>
      <c r="U121" s="217">
        <f t="shared" si="44"/>
        <v>3997244.16</v>
      </c>
      <c r="V121" s="498">
        <f t="shared" si="44"/>
        <v>3997244.16</v>
      </c>
      <c r="W121" s="215"/>
      <c r="X121" s="215">
        <f t="shared" ref="X121:Y123" si="45">X122</f>
        <v>0</v>
      </c>
      <c r="Y121" s="216">
        <f t="shared" si="45"/>
        <v>3997244.16</v>
      </c>
      <c r="Z121" s="217">
        <f t="shared" ref="Z121:AB123" si="46">Z122</f>
        <v>4832268.84</v>
      </c>
      <c r="AA121" s="216">
        <f t="shared" si="46"/>
        <v>0</v>
      </c>
      <c r="AB121" s="216">
        <f t="shared" si="46"/>
        <v>4832268.84</v>
      </c>
    </row>
    <row r="122" spans="1:28" s="2" customFormat="1" ht="76.5" x14ac:dyDescent="0.2">
      <c r="A122" s="371" t="s">
        <v>414</v>
      </c>
      <c r="B122" s="60" t="s">
        <v>108</v>
      </c>
      <c r="C122" s="77" t="s">
        <v>74</v>
      </c>
      <c r="D122" s="78" t="s">
        <v>74</v>
      </c>
      <c r="E122" s="66" t="s">
        <v>1</v>
      </c>
      <c r="F122" s="66" t="s">
        <v>135</v>
      </c>
      <c r="G122" s="66" t="s">
        <v>402</v>
      </c>
      <c r="H122" s="66" t="s">
        <v>403</v>
      </c>
      <c r="I122" s="66" t="s">
        <v>404</v>
      </c>
      <c r="J122" s="67" t="s">
        <v>133</v>
      </c>
      <c r="K122" s="214"/>
      <c r="L122" s="68">
        <f t="shared" ref="L122:V123" si="47">L123</f>
        <v>0</v>
      </c>
      <c r="M122" s="69">
        <f t="shared" si="47"/>
        <v>0</v>
      </c>
      <c r="N122" s="502">
        <f t="shared" si="47"/>
        <v>0</v>
      </c>
      <c r="O122" s="69">
        <f t="shared" si="47"/>
        <v>675816.12</v>
      </c>
      <c r="P122" s="216">
        <f t="shared" si="47"/>
        <v>3997244.16</v>
      </c>
      <c r="Q122" s="68">
        <f t="shared" si="47"/>
        <v>0</v>
      </c>
      <c r="R122" s="69">
        <f t="shared" si="47"/>
        <v>4396968.58</v>
      </c>
      <c r="S122" s="216">
        <f t="shared" si="47"/>
        <v>0</v>
      </c>
      <c r="T122" s="216">
        <f t="shared" si="47"/>
        <v>3997244.16</v>
      </c>
      <c r="U122" s="217">
        <f t="shared" si="47"/>
        <v>3997244.16</v>
      </c>
      <c r="V122" s="498">
        <f t="shared" si="47"/>
        <v>3997244.16</v>
      </c>
      <c r="W122" s="215"/>
      <c r="X122" s="215">
        <f t="shared" si="45"/>
        <v>0</v>
      </c>
      <c r="Y122" s="216">
        <f t="shared" si="45"/>
        <v>3997244.16</v>
      </c>
      <c r="Z122" s="217">
        <f t="shared" si="46"/>
        <v>4832268.84</v>
      </c>
      <c r="AA122" s="216">
        <f t="shared" si="46"/>
        <v>0</v>
      </c>
      <c r="AB122" s="216">
        <f t="shared" si="46"/>
        <v>4832268.84</v>
      </c>
    </row>
    <row r="123" spans="1:28" s="2" customFormat="1" ht="25.5" x14ac:dyDescent="0.2">
      <c r="A123" s="362" t="s">
        <v>21</v>
      </c>
      <c r="B123" s="60" t="s">
        <v>108</v>
      </c>
      <c r="C123" s="77" t="s">
        <v>74</v>
      </c>
      <c r="D123" s="78" t="s">
        <v>74</v>
      </c>
      <c r="E123" s="66" t="s">
        <v>1</v>
      </c>
      <c r="F123" s="66" t="s">
        <v>135</v>
      </c>
      <c r="G123" s="66" t="s">
        <v>402</v>
      </c>
      <c r="H123" s="66" t="s">
        <v>403</v>
      </c>
      <c r="I123" s="66" t="s">
        <v>404</v>
      </c>
      <c r="J123" s="67" t="s">
        <v>133</v>
      </c>
      <c r="K123" s="214" t="s">
        <v>149</v>
      </c>
      <c r="L123" s="68">
        <f t="shared" si="47"/>
        <v>0</v>
      </c>
      <c r="M123" s="69">
        <f t="shared" si="47"/>
        <v>0</v>
      </c>
      <c r="N123" s="502">
        <f t="shared" si="47"/>
        <v>0</v>
      </c>
      <c r="O123" s="69">
        <f t="shared" si="47"/>
        <v>675816.12</v>
      </c>
      <c r="P123" s="216">
        <f t="shared" si="47"/>
        <v>3997244.16</v>
      </c>
      <c r="Q123" s="68">
        <f t="shared" si="47"/>
        <v>0</v>
      </c>
      <c r="R123" s="69">
        <f t="shared" si="47"/>
        <v>4396968.58</v>
      </c>
      <c r="S123" s="216">
        <f t="shared" si="47"/>
        <v>0</v>
      </c>
      <c r="T123" s="216">
        <f t="shared" si="47"/>
        <v>3997244.16</v>
      </c>
      <c r="U123" s="217">
        <f t="shared" si="47"/>
        <v>3997244.16</v>
      </c>
      <c r="V123" s="498">
        <f t="shared" si="47"/>
        <v>3997244.16</v>
      </c>
      <c r="W123" s="215"/>
      <c r="X123" s="215">
        <f t="shared" si="45"/>
        <v>0</v>
      </c>
      <c r="Y123" s="216">
        <f t="shared" si="45"/>
        <v>3997244.16</v>
      </c>
      <c r="Z123" s="217">
        <f t="shared" si="46"/>
        <v>4832268.84</v>
      </c>
      <c r="AA123" s="216">
        <f t="shared" si="46"/>
        <v>0</v>
      </c>
      <c r="AB123" s="216">
        <f t="shared" si="46"/>
        <v>4832268.84</v>
      </c>
    </row>
    <row r="124" spans="1:28" s="2" customFormat="1" x14ac:dyDescent="0.2">
      <c r="A124" s="362" t="s">
        <v>22</v>
      </c>
      <c r="B124" s="60" t="s">
        <v>108</v>
      </c>
      <c r="C124" s="77" t="s">
        <v>74</v>
      </c>
      <c r="D124" s="78" t="s">
        <v>74</v>
      </c>
      <c r="E124" s="66" t="s">
        <v>1</v>
      </c>
      <c r="F124" s="66" t="s">
        <v>135</v>
      </c>
      <c r="G124" s="66" t="s">
        <v>402</v>
      </c>
      <c r="H124" s="66" t="s">
        <v>403</v>
      </c>
      <c r="I124" s="66" t="s">
        <v>404</v>
      </c>
      <c r="J124" s="67" t="s">
        <v>133</v>
      </c>
      <c r="K124" s="214" t="s">
        <v>23</v>
      </c>
      <c r="L124" s="68">
        <v>0</v>
      </c>
      <c r="M124" s="69">
        <v>0</v>
      </c>
      <c r="N124" s="502">
        <v>0</v>
      </c>
      <c r="O124" s="69">
        <v>675816.12</v>
      </c>
      <c r="P124" s="216">
        <v>3997244.16</v>
      </c>
      <c r="Q124" s="68">
        <v>0</v>
      </c>
      <c r="R124" s="69">
        <v>4396968.58</v>
      </c>
      <c r="S124" s="216">
        <v>0</v>
      </c>
      <c r="T124" s="216">
        <f>P124</f>
        <v>3997244.16</v>
      </c>
      <c r="U124" s="217">
        <v>3997244.16</v>
      </c>
      <c r="V124" s="498">
        <f>U124</f>
        <v>3997244.16</v>
      </c>
      <c r="W124" s="215"/>
      <c r="X124" s="215">
        <v>0</v>
      </c>
      <c r="Y124" s="216">
        <v>3997244.16</v>
      </c>
      <c r="Z124" s="217">
        <v>4832268.84</v>
      </c>
      <c r="AA124" s="216">
        <v>0</v>
      </c>
      <c r="AB124" s="216">
        <f>Z124</f>
        <v>4832268.84</v>
      </c>
    </row>
    <row r="125" spans="1:28" s="2" customFormat="1" x14ac:dyDescent="0.2">
      <c r="A125" s="363" t="s">
        <v>91</v>
      </c>
      <c r="B125" s="60" t="s">
        <v>108</v>
      </c>
      <c r="C125" s="77" t="s">
        <v>74</v>
      </c>
      <c r="D125" s="77" t="s">
        <v>86</v>
      </c>
      <c r="E125" s="77"/>
      <c r="F125" s="79"/>
      <c r="G125" s="66"/>
      <c r="H125" s="66"/>
      <c r="I125" s="79"/>
      <c r="J125" s="80"/>
      <c r="K125" s="505"/>
      <c r="L125" s="68" t="e">
        <f t="shared" ref="L125:AB125" si="48">L126</f>
        <v>#REF!</v>
      </c>
      <c r="M125" s="69" t="e">
        <f t="shared" si="48"/>
        <v>#REF!</v>
      </c>
      <c r="N125" s="216">
        <f t="shared" si="48"/>
        <v>27989101.550000001</v>
      </c>
      <c r="O125" s="215">
        <f t="shared" si="48"/>
        <v>0</v>
      </c>
      <c r="P125" s="216">
        <f t="shared" si="48"/>
        <v>28161549.890000001</v>
      </c>
      <c r="Q125" s="68">
        <f t="shared" si="48"/>
        <v>212290389.86000001</v>
      </c>
      <c r="R125" s="215">
        <f t="shared" si="48"/>
        <v>0</v>
      </c>
      <c r="S125" s="216">
        <f t="shared" si="48"/>
        <v>211379.46</v>
      </c>
      <c r="T125" s="216">
        <f t="shared" si="48"/>
        <v>28372929.350000001</v>
      </c>
      <c r="U125" s="217">
        <f t="shared" si="48"/>
        <v>28290389.859999999</v>
      </c>
      <c r="V125" s="217">
        <f t="shared" si="48"/>
        <v>218410032.56999999</v>
      </c>
      <c r="W125" s="215">
        <f t="shared" si="48"/>
        <v>0</v>
      </c>
      <c r="X125" s="215">
        <f t="shared" si="48"/>
        <v>186373.92</v>
      </c>
      <c r="Y125" s="216">
        <f t="shared" si="48"/>
        <v>28476763.780000001</v>
      </c>
      <c r="Z125" s="217">
        <f t="shared" si="48"/>
        <v>28410032.57</v>
      </c>
      <c r="AA125" s="216">
        <f t="shared" si="48"/>
        <v>186373.92</v>
      </c>
      <c r="AB125" s="216">
        <f t="shared" si="48"/>
        <v>28596406.490000002</v>
      </c>
    </row>
    <row r="126" spans="1:28" s="2" customFormat="1" ht="25.5" x14ac:dyDescent="0.2">
      <c r="A126" s="362" t="s">
        <v>312</v>
      </c>
      <c r="B126" s="60" t="s">
        <v>108</v>
      </c>
      <c r="C126" s="77" t="s">
        <v>74</v>
      </c>
      <c r="D126" s="77" t="s">
        <v>86</v>
      </c>
      <c r="E126" s="103" t="s">
        <v>1</v>
      </c>
      <c r="F126" s="66" t="s">
        <v>135</v>
      </c>
      <c r="G126" s="66" t="s">
        <v>135</v>
      </c>
      <c r="H126" s="66" t="s">
        <v>135</v>
      </c>
      <c r="I126" s="66" t="s">
        <v>136</v>
      </c>
      <c r="J126" s="67" t="s">
        <v>135</v>
      </c>
      <c r="K126" s="214"/>
      <c r="L126" s="68" t="e">
        <f>L127+L132+#REF!</f>
        <v>#REF!</v>
      </c>
      <c r="M126" s="69" t="e">
        <f>M127+M132+#REF!</f>
        <v>#REF!</v>
      </c>
      <c r="N126" s="216">
        <f>N127+N132+N137</f>
        <v>27989101.550000001</v>
      </c>
      <c r="O126" s="215">
        <f>O127+O132+O137</f>
        <v>0</v>
      </c>
      <c r="P126" s="216">
        <f>P127+P132+P137+P140+P143</f>
        <v>28161549.890000001</v>
      </c>
      <c r="Q126" s="216">
        <f t="shared" ref="Q126:AB126" si="49">Q127+Q132+Q137+Q140+Q143</f>
        <v>212290389.86000001</v>
      </c>
      <c r="R126" s="216">
        <f t="shared" si="49"/>
        <v>0</v>
      </c>
      <c r="S126" s="216">
        <f t="shared" si="49"/>
        <v>211379.46</v>
      </c>
      <c r="T126" s="216">
        <f t="shared" si="49"/>
        <v>28372929.350000001</v>
      </c>
      <c r="U126" s="217">
        <f t="shared" si="49"/>
        <v>28290389.859999999</v>
      </c>
      <c r="V126" s="216">
        <f t="shared" si="49"/>
        <v>218410032.56999999</v>
      </c>
      <c r="W126" s="216">
        <f t="shared" si="49"/>
        <v>0</v>
      </c>
      <c r="X126" s="215">
        <f t="shared" si="49"/>
        <v>186373.92</v>
      </c>
      <c r="Y126" s="216">
        <f t="shared" si="49"/>
        <v>28476763.780000001</v>
      </c>
      <c r="Z126" s="217">
        <f t="shared" si="49"/>
        <v>28410032.57</v>
      </c>
      <c r="AA126" s="216">
        <f t="shared" si="49"/>
        <v>186373.92</v>
      </c>
      <c r="AB126" s="216">
        <f t="shared" si="49"/>
        <v>28596406.490000002</v>
      </c>
    </row>
    <row r="127" spans="1:28" s="2" customFormat="1" ht="25.5" x14ac:dyDescent="0.2">
      <c r="A127" s="371" t="s">
        <v>29</v>
      </c>
      <c r="B127" s="60" t="s">
        <v>108</v>
      </c>
      <c r="C127" s="77" t="s">
        <v>74</v>
      </c>
      <c r="D127" s="77" t="s">
        <v>86</v>
      </c>
      <c r="E127" s="103" t="s">
        <v>1</v>
      </c>
      <c r="F127" s="66" t="s">
        <v>135</v>
      </c>
      <c r="G127" s="66" t="s">
        <v>135</v>
      </c>
      <c r="H127" s="66" t="s">
        <v>135</v>
      </c>
      <c r="I127" s="66" t="s">
        <v>27</v>
      </c>
      <c r="J127" s="67" t="s">
        <v>135</v>
      </c>
      <c r="K127" s="214"/>
      <c r="L127" s="68">
        <f t="shared" ref="L127:Z127" si="50">L128+L130</f>
        <v>17051100</v>
      </c>
      <c r="M127" s="69">
        <f t="shared" si="50"/>
        <v>0</v>
      </c>
      <c r="N127" s="216">
        <f t="shared" si="50"/>
        <v>25112070.050000001</v>
      </c>
      <c r="O127" s="216">
        <f t="shared" si="50"/>
        <v>0</v>
      </c>
      <c r="P127" s="216">
        <f t="shared" si="50"/>
        <v>25112070.050000001</v>
      </c>
      <c r="Q127" s="68">
        <f t="shared" si="50"/>
        <v>25112070.050000001</v>
      </c>
      <c r="R127" s="215">
        <f t="shared" si="50"/>
        <v>0</v>
      </c>
      <c r="S127" s="216">
        <f>S128+S130</f>
        <v>-30000</v>
      </c>
      <c r="T127" s="216">
        <f>T128+T130</f>
        <v>25082070.050000001</v>
      </c>
      <c r="U127" s="217">
        <f t="shared" si="50"/>
        <v>25112070.050000001</v>
      </c>
      <c r="V127" s="216">
        <f t="shared" si="50"/>
        <v>25112070.050000001</v>
      </c>
      <c r="W127" s="215">
        <f t="shared" si="50"/>
        <v>0</v>
      </c>
      <c r="X127" s="215">
        <f>X128+X130</f>
        <v>0</v>
      </c>
      <c r="Y127" s="216">
        <f>Y128+Y130</f>
        <v>25112070.050000001</v>
      </c>
      <c r="Z127" s="217">
        <f t="shared" si="50"/>
        <v>25112070.050000001</v>
      </c>
      <c r="AA127" s="216">
        <f>AA128+AA130</f>
        <v>0</v>
      </c>
      <c r="AB127" s="216">
        <f>AB128+AB130</f>
        <v>25112070.050000001</v>
      </c>
    </row>
    <row r="128" spans="1:28" s="2" customFormat="1" ht="51" x14ac:dyDescent="0.2">
      <c r="A128" s="362" t="s">
        <v>67</v>
      </c>
      <c r="B128" s="60" t="s">
        <v>108</v>
      </c>
      <c r="C128" s="77" t="s">
        <v>74</v>
      </c>
      <c r="D128" s="77" t="s">
        <v>86</v>
      </c>
      <c r="E128" s="103" t="s">
        <v>1</v>
      </c>
      <c r="F128" s="66" t="s">
        <v>135</v>
      </c>
      <c r="G128" s="66" t="s">
        <v>135</v>
      </c>
      <c r="H128" s="66" t="s">
        <v>135</v>
      </c>
      <c r="I128" s="66" t="s">
        <v>27</v>
      </c>
      <c r="J128" s="67" t="s">
        <v>135</v>
      </c>
      <c r="K128" s="309">
        <v>100</v>
      </c>
      <c r="L128" s="68">
        <f t="shared" ref="L128:AB128" si="51">L129</f>
        <v>16775400</v>
      </c>
      <c r="M128" s="69">
        <f t="shared" si="51"/>
        <v>0</v>
      </c>
      <c r="N128" s="216">
        <f t="shared" si="51"/>
        <v>24836370.050000001</v>
      </c>
      <c r="O128" s="216">
        <f t="shared" si="51"/>
        <v>0</v>
      </c>
      <c r="P128" s="216">
        <f t="shared" si="51"/>
        <v>24836370.050000001</v>
      </c>
      <c r="Q128" s="68">
        <f t="shared" si="51"/>
        <v>24836370.050000001</v>
      </c>
      <c r="R128" s="215">
        <f t="shared" si="51"/>
        <v>0</v>
      </c>
      <c r="S128" s="216">
        <f t="shared" si="51"/>
        <v>68109.490000000005</v>
      </c>
      <c r="T128" s="216">
        <f t="shared" si="51"/>
        <v>24904479.539999999</v>
      </c>
      <c r="U128" s="217">
        <f t="shared" si="51"/>
        <v>24836370.050000001</v>
      </c>
      <c r="V128" s="216">
        <f t="shared" si="51"/>
        <v>24836370.050000001</v>
      </c>
      <c r="W128" s="215">
        <f t="shared" si="51"/>
        <v>0</v>
      </c>
      <c r="X128" s="215">
        <f t="shared" si="51"/>
        <v>0</v>
      </c>
      <c r="Y128" s="216">
        <f t="shared" si="51"/>
        <v>24836370.050000001</v>
      </c>
      <c r="Z128" s="217">
        <f t="shared" si="51"/>
        <v>24836370.050000001</v>
      </c>
      <c r="AA128" s="216">
        <f t="shared" si="51"/>
        <v>0</v>
      </c>
      <c r="AB128" s="216">
        <f t="shared" si="51"/>
        <v>24836370.050000001</v>
      </c>
    </row>
    <row r="129" spans="1:28" s="2" customFormat="1" ht="25.5" x14ac:dyDescent="0.2">
      <c r="A129" s="212" t="s">
        <v>61</v>
      </c>
      <c r="B129" s="58" t="s">
        <v>108</v>
      </c>
      <c r="C129" s="77" t="s">
        <v>74</v>
      </c>
      <c r="D129" s="77" t="s">
        <v>86</v>
      </c>
      <c r="E129" s="103" t="s">
        <v>1</v>
      </c>
      <c r="F129" s="66" t="s">
        <v>135</v>
      </c>
      <c r="G129" s="66" t="s">
        <v>135</v>
      </c>
      <c r="H129" s="66" t="s">
        <v>135</v>
      </c>
      <c r="I129" s="66" t="s">
        <v>27</v>
      </c>
      <c r="J129" s="67" t="s">
        <v>135</v>
      </c>
      <c r="K129" s="309">
        <v>120</v>
      </c>
      <c r="L129" s="68">
        <v>16775400</v>
      </c>
      <c r="M129" s="69">
        <v>0</v>
      </c>
      <c r="N129" s="216">
        <v>24836370.050000001</v>
      </c>
      <c r="O129" s="216">
        <v>0</v>
      </c>
      <c r="P129" s="216">
        <v>24836370.050000001</v>
      </c>
      <c r="Q129" s="215">
        <v>24836370.050000001</v>
      </c>
      <c r="R129" s="216">
        <v>0</v>
      </c>
      <c r="S129" s="216">
        <v>68109.490000000005</v>
      </c>
      <c r="T129" s="216">
        <f>S129+P129</f>
        <v>24904479.539999999</v>
      </c>
      <c r="U129" s="217">
        <v>24836370.050000001</v>
      </c>
      <c r="V129" s="216">
        <v>24836370.050000001</v>
      </c>
      <c r="W129" s="215">
        <v>0</v>
      </c>
      <c r="X129" s="215">
        <v>0</v>
      </c>
      <c r="Y129" s="216">
        <v>24836370.050000001</v>
      </c>
      <c r="Z129" s="217">
        <v>24836370.050000001</v>
      </c>
      <c r="AA129" s="216">
        <v>0</v>
      </c>
      <c r="AB129" s="216">
        <v>24836370.050000001</v>
      </c>
    </row>
    <row r="130" spans="1:28" s="2" customFormat="1" ht="25.5" x14ac:dyDescent="0.2">
      <c r="A130" s="212" t="s">
        <v>52</v>
      </c>
      <c r="B130" s="58" t="s">
        <v>108</v>
      </c>
      <c r="C130" s="77" t="s">
        <v>74</v>
      </c>
      <c r="D130" s="77" t="s">
        <v>86</v>
      </c>
      <c r="E130" s="103" t="s">
        <v>1</v>
      </c>
      <c r="F130" s="66" t="s">
        <v>135</v>
      </c>
      <c r="G130" s="66" t="s">
        <v>135</v>
      </c>
      <c r="H130" s="66" t="s">
        <v>135</v>
      </c>
      <c r="I130" s="66" t="s">
        <v>27</v>
      </c>
      <c r="J130" s="67" t="s">
        <v>135</v>
      </c>
      <c r="K130" s="309">
        <v>200</v>
      </c>
      <c r="L130" s="68">
        <f t="shared" ref="L130:AB130" si="52">L131</f>
        <v>275700</v>
      </c>
      <c r="M130" s="69">
        <f t="shared" si="52"/>
        <v>0</v>
      </c>
      <c r="N130" s="216">
        <f t="shared" si="52"/>
        <v>275700</v>
      </c>
      <c r="O130" s="216">
        <f t="shared" si="52"/>
        <v>0</v>
      </c>
      <c r="P130" s="216">
        <f t="shared" si="52"/>
        <v>275700</v>
      </c>
      <c r="Q130" s="215">
        <f t="shared" si="52"/>
        <v>275700</v>
      </c>
      <c r="R130" s="216">
        <f t="shared" si="52"/>
        <v>0</v>
      </c>
      <c r="S130" s="216">
        <f t="shared" si="52"/>
        <v>-98109.49</v>
      </c>
      <c r="T130" s="216">
        <f t="shared" si="52"/>
        <v>177590.51</v>
      </c>
      <c r="U130" s="217">
        <f t="shared" si="52"/>
        <v>275700</v>
      </c>
      <c r="V130" s="216">
        <f t="shared" si="52"/>
        <v>275700</v>
      </c>
      <c r="W130" s="215">
        <f t="shared" si="52"/>
        <v>0</v>
      </c>
      <c r="X130" s="215">
        <f t="shared" si="52"/>
        <v>0</v>
      </c>
      <c r="Y130" s="216">
        <f t="shared" si="52"/>
        <v>275700</v>
      </c>
      <c r="Z130" s="217">
        <f t="shared" si="52"/>
        <v>275700</v>
      </c>
      <c r="AA130" s="216">
        <f t="shared" si="52"/>
        <v>0</v>
      </c>
      <c r="AB130" s="216">
        <f t="shared" si="52"/>
        <v>275700</v>
      </c>
    </row>
    <row r="131" spans="1:28" s="2" customFormat="1" ht="25.5" x14ac:dyDescent="0.2">
      <c r="A131" s="212" t="s">
        <v>54</v>
      </c>
      <c r="B131" s="58" t="s">
        <v>108</v>
      </c>
      <c r="C131" s="77" t="s">
        <v>74</v>
      </c>
      <c r="D131" s="77" t="s">
        <v>86</v>
      </c>
      <c r="E131" s="103" t="s">
        <v>1</v>
      </c>
      <c r="F131" s="66" t="s">
        <v>135</v>
      </c>
      <c r="G131" s="66" t="s">
        <v>135</v>
      </c>
      <c r="H131" s="66" t="s">
        <v>135</v>
      </c>
      <c r="I131" s="66" t="s">
        <v>27</v>
      </c>
      <c r="J131" s="67" t="s">
        <v>135</v>
      </c>
      <c r="K131" s="309">
        <v>240</v>
      </c>
      <c r="L131" s="68">
        <v>275700</v>
      </c>
      <c r="M131" s="69">
        <v>0</v>
      </c>
      <c r="N131" s="216">
        <v>275700</v>
      </c>
      <c r="O131" s="216">
        <v>0</v>
      </c>
      <c r="P131" s="216">
        <v>275700</v>
      </c>
      <c r="Q131" s="215">
        <v>275700</v>
      </c>
      <c r="R131" s="216">
        <v>0</v>
      </c>
      <c r="S131" s="216">
        <f>-30000-68109.49</f>
        <v>-98109.49</v>
      </c>
      <c r="T131" s="216">
        <f>S131+P131</f>
        <v>177590.51</v>
      </c>
      <c r="U131" s="217">
        <v>275700</v>
      </c>
      <c r="V131" s="216">
        <v>275700</v>
      </c>
      <c r="W131" s="215">
        <v>0</v>
      </c>
      <c r="X131" s="215">
        <v>0</v>
      </c>
      <c r="Y131" s="216">
        <v>275700</v>
      </c>
      <c r="Z131" s="217">
        <v>275700</v>
      </c>
      <c r="AA131" s="216">
        <v>0</v>
      </c>
      <c r="AB131" s="216">
        <v>275700</v>
      </c>
    </row>
    <row r="132" spans="1:28" s="2" customFormat="1" x14ac:dyDescent="0.2">
      <c r="A132" s="212" t="s">
        <v>129</v>
      </c>
      <c r="B132" s="58" t="s">
        <v>108</v>
      </c>
      <c r="C132" s="77" t="s">
        <v>74</v>
      </c>
      <c r="D132" s="77" t="s">
        <v>86</v>
      </c>
      <c r="E132" s="103" t="s">
        <v>1</v>
      </c>
      <c r="F132" s="70" t="s">
        <v>135</v>
      </c>
      <c r="G132" s="66" t="s">
        <v>135</v>
      </c>
      <c r="H132" s="66" t="s">
        <v>135</v>
      </c>
      <c r="I132" s="71" t="s">
        <v>0</v>
      </c>
      <c r="J132" s="67" t="s">
        <v>135</v>
      </c>
      <c r="K132" s="372"/>
      <c r="L132" s="68">
        <f t="shared" ref="L132:AB135" si="53">L133</f>
        <v>69000</v>
      </c>
      <c r="M132" s="69">
        <f t="shared" si="53"/>
        <v>0</v>
      </c>
      <c r="N132" s="216">
        <f t="shared" ref="N132:Z132" si="54">N133+N135</f>
        <v>0</v>
      </c>
      <c r="O132" s="216">
        <f t="shared" si="54"/>
        <v>0</v>
      </c>
      <c r="P132" s="216">
        <f t="shared" si="54"/>
        <v>0</v>
      </c>
      <c r="Q132" s="215">
        <f t="shared" si="54"/>
        <v>186200</v>
      </c>
      <c r="R132" s="216">
        <f t="shared" si="54"/>
        <v>0</v>
      </c>
      <c r="S132" s="216">
        <f>S133+S135</f>
        <v>0</v>
      </c>
      <c r="T132" s="216">
        <f>T133+T135</f>
        <v>0</v>
      </c>
      <c r="U132" s="217">
        <f t="shared" si="54"/>
        <v>186200</v>
      </c>
      <c r="V132" s="216">
        <f t="shared" si="54"/>
        <v>186200</v>
      </c>
      <c r="W132" s="215">
        <f t="shared" si="54"/>
        <v>0</v>
      </c>
      <c r="X132" s="215">
        <f>X133+X135</f>
        <v>0</v>
      </c>
      <c r="Y132" s="216">
        <f>Y133+Y135</f>
        <v>186200</v>
      </c>
      <c r="Z132" s="217">
        <f t="shared" si="54"/>
        <v>186200</v>
      </c>
      <c r="AA132" s="216">
        <f>AA133+AA135</f>
        <v>0</v>
      </c>
      <c r="AB132" s="216">
        <f>AB133+AB135</f>
        <v>186200</v>
      </c>
    </row>
    <row r="133" spans="1:28" s="2" customFormat="1" ht="25.5" x14ac:dyDescent="0.2">
      <c r="A133" s="258" t="s">
        <v>126</v>
      </c>
      <c r="B133" s="58" t="s">
        <v>108</v>
      </c>
      <c r="C133" s="77" t="s">
        <v>74</v>
      </c>
      <c r="D133" s="77" t="s">
        <v>86</v>
      </c>
      <c r="E133" s="77" t="s">
        <v>1</v>
      </c>
      <c r="F133" s="79" t="s">
        <v>135</v>
      </c>
      <c r="G133" s="66" t="s">
        <v>135</v>
      </c>
      <c r="H133" s="66" t="s">
        <v>135</v>
      </c>
      <c r="I133" s="79" t="s">
        <v>0</v>
      </c>
      <c r="J133" s="67" t="s">
        <v>135</v>
      </c>
      <c r="K133" s="291" t="s">
        <v>53</v>
      </c>
      <c r="L133" s="68">
        <f t="shared" si="53"/>
        <v>69000</v>
      </c>
      <c r="M133" s="69">
        <f t="shared" si="53"/>
        <v>0</v>
      </c>
      <c r="N133" s="216">
        <f t="shared" si="53"/>
        <v>0</v>
      </c>
      <c r="O133" s="216">
        <f t="shared" si="53"/>
        <v>0</v>
      </c>
      <c r="P133" s="216">
        <f t="shared" si="53"/>
        <v>0</v>
      </c>
      <c r="Q133" s="215">
        <f t="shared" si="53"/>
        <v>69000</v>
      </c>
      <c r="R133" s="216">
        <f t="shared" si="53"/>
        <v>0</v>
      </c>
      <c r="S133" s="216">
        <f t="shared" si="53"/>
        <v>0</v>
      </c>
      <c r="T133" s="216">
        <f t="shared" si="53"/>
        <v>0</v>
      </c>
      <c r="U133" s="217">
        <f t="shared" si="53"/>
        <v>69000</v>
      </c>
      <c r="V133" s="216">
        <f t="shared" si="53"/>
        <v>69000</v>
      </c>
      <c r="W133" s="215">
        <f t="shared" si="53"/>
        <v>0</v>
      </c>
      <c r="X133" s="215">
        <f t="shared" si="53"/>
        <v>0</v>
      </c>
      <c r="Y133" s="216">
        <f t="shared" si="53"/>
        <v>69000</v>
      </c>
      <c r="Z133" s="217">
        <f t="shared" si="53"/>
        <v>69000</v>
      </c>
      <c r="AA133" s="216">
        <f t="shared" si="53"/>
        <v>0</v>
      </c>
      <c r="AB133" s="216">
        <f t="shared" si="53"/>
        <v>69000</v>
      </c>
    </row>
    <row r="134" spans="1:28" s="2" customFormat="1" ht="25.5" x14ac:dyDescent="0.2">
      <c r="A134" s="258" t="s">
        <v>54</v>
      </c>
      <c r="B134" s="58" t="s">
        <v>108</v>
      </c>
      <c r="C134" s="77" t="s">
        <v>74</v>
      </c>
      <c r="D134" s="77" t="s">
        <v>86</v>
      </c>
      <c r="E134" s="77" t="s">
        <v>1</v>
      </c>
      <c r="F134" s="79" t="s">
        <v>135</v>
      </c>
      <c r="G134" s="66" t="s">
        <v>135</v>
      </c>
      <c r="H134" s="66" t="s">
        <v>135</v>
      </c>
      <c r="I134" s="79" t="s">
        <v>0</v>
      </c>
      <c r="J134" s="67" t="s">
        <v>135</v>
      </c>
      <c r="K134" s="291" t="s">
        <v>55</v>
      </c>
      <c r="L134" s="68">
        <v>69000</v>
      </c>
      <c r="M134" s="69">
        <v>0</v>
      </c>
      <c r="N134" s="216">
        <v>0</v>
      </c>
      <c r="O134" s="216">
        <v>0</v>
      </c>
      <c r="P134" s="216">
        <v>0</v>
      </c>
      <c r="Q134" s="215">
        <v>69000</v>
      </c>
      <c r="R134" s="216">
        <v>0</v>
      </c>
      <c r="S134" s="216">
        <v>0</v>
      </c>
      <c r="T134" s="216">
        <v>0</v>
      </c>
      <c r="U134" s="217">
        <v>69000</v>
      </c>
      <c r="V134" s="216">
        <v>69000</v>
      </c>
      <c r="W134" s="215">
        <v>0</v>
      </c>
      <c r="X134" s="215">
        <v>0</v>
      </c>
      <c r="Y134" s="216">
        <v>69000</v>
      </c>
      <c r="Z134" s="217">
        <v>69000</v>
      </c>
      <c r="AA134" s="216">
        <v>0</v>
      </c>
      <c r="AB134" s="216">
        <v>69000</v>
      </c>
    </row>
    <row r="135" spans="1:28" s="2" customFormat="1" x14ac:dyDescent="0.2">
      <c r="A135" s="212" t="s">
        <v>56</v>
      </c>
      <c r="B135" s="58" t="s">
        <v>108</v>
      </c>
      <c r="C135" s="77" t="s">
        <v>74</v>
      </c>
      <c r="D135" s="77" t="s">
        <v>86</v>
      </c>
      <c r="E135" s="77" t="s">
        <v>1</v>
      </c>
      <c r="F135" s="79" t="s">
        <v>135</v>
      </c>
      <c r="G135" s="66" t="s">
        <v>135</v>
      </c>
      <c r="H135" s="66" t="s">
        <v>135</v>
      </c>
      <c r="I135" s="79" t="s">
        <v>0</v>
      </c>
      <c r="J135" s="67" t="s">
        <v>135</v>
      </c>
      <c r="K135" s="291" t="s">
        <v>57</v>
      </c>
      <c r="L135" s="68">
        <f t="shared" si="53"/>
        <v>69000</v>
      </c>
      <c r="M135" s="69">
        <f t="shared" si="53"/>
        <v>0</v>
      </c>
      <c r="N135" s="216">
        <f t="shared" si="53"/>
        <v>0</v>
      </c>
      <c r="O135" s="216">
        <f t="shared" si="53"/>
        <v>0</v>
      </c>
      <c r="P135" s="216">
        <f t="shared" si="53"/>
        <v>0</v>
      </c>
      <c r="Q135" s="215">
        <f t="shared" si="53"/>
        <v>117200</v>
      </c>
      <c r="R135" s="216">
        <f t="shared" si="53"/>
        <v>0</v>
      </c>
      <c r="S135" s="216">
        <f t="shared" si="53"/>
        <v>0</v>
      </c>
      <c r="T135" s="216">
        <f t="shared" si="53"/>
        <v>0</v>
      </c>
      <c r="U135" s="217">
        <f t="shared" si="53"/>
        <v>117200</v>
      </c>
      <c r="V135" s="216">
        <f t="shared" si="53"/>
        <v>117200</v>
      </c>
      <c r="W135" s="215">
        <f t="shared" si="53"/>
        <v>0</v>
      </c>
      <c r="X135" s="215">
        <f t="shared" si="53"/>
        <v>0</v>
      </c>
      <c r="Y135" s="216">
        <f t="shared" si="53"/>
        <v>117200</v>
      </c>
      <c r="Z135" s="217">
        <f t="shared" si="53"/>
        <v>117200</v>
      </c>
      <c r="AA135" s="216">
        <f t="shared" si="53"/>
        <v>0</v>
      </c>
      <c r="AB135" s="216">
        <f t="shared" si="53"/>
        <v>117200</v>
      </c>
    </row>
    <row r="136" spans="1:28" s="2" customFormat="1" x14ac:dyDescent="0.2">
      <c r="A136" s="212" t="s">
        <v>377</v>
      </c>
      <c r="B136" s="58" t="s">
        <v>108</v>
      </c>
      <c r="C136" s="77" t="s">
        <v>74</v>
      </c>
      <c r="D136" s="77" t="s">
        <v>86</v>
      </c>
      <c r="E136" s="77" t="s">
        <v>1</v>
      </c>
      <c r="F136" s="79" t="s">
        <v>135</v>
      </c>
      <c r="G136" s="66" t="s">
        <v>135</v>
      </c>
      <c r="H136" s="66" t="s">
        <v>135</v>
      </c>
      <c r="I136" s="79" t="s">
        <v>0</v>
      </c>
      <c r="J136" s="67" t="s">
        <v>135</v>
      </c>
      <c r="K136" s="291" t="s">
        <v>376</v>
      </c>
      <c r="L136" s="68">
        <v>69000</v>
      </c>
      <c r="M136" s="69">
        <v>0</v>
      </c>
      <c r="N136" s="216">
        <v>0</v>
      </c>
      <c r="O136" s="216">
        <v>0</v>
      </c>
      <c r="P136" s="216">
        <v>0</v>
      </c>
      <c r="Q136" s="215">
        <v>117200</v>
      </c>
      <c r="R136" s="216">
        <v>0</v>
      </c>
      <c r="S136" s="216">
        <v>0</v>
      </c>
      <c r="T136" s="216">
        <v>0</v>
      </c>
      <c r="U136" s="217">
        <v>117200</v>
      </c>
      <c r="V136" s="216">
        <v>117200</v>
      </c>
      <c r="W136" s="215">
        <v>0</v>
      </c>
      <c r="X136" s="215">
        <v>0</v>
      </c>
      <c r="Y136" s="216">
        <v>117200</v>
      </c>
      <c r="Z136" s="217">
        <v>117200</v>
      </c>
      <c r="AA136" s="216">
        <v>0</v>
      </c>
      <c r="AB136" s="216">
        <v>117200</v>
      </c>
    </row>
    <row r="137" spans="1:28" s="2" customFormat="1" ht="87" customHeight="1" x14ac:dyDescent="0.2">
      <c r="A137" s="212" t="s">
        <v>292</v>
      </c>
      <c r="B137" s="58" t="s">
        <v>108</v>
      </c>
      <c r="C137" s="77" t="s">
        <v>74</v>
      </c>
      <c r="D137" s="77" t="s">
        <v>86</v>
      </c>
      <c r="E137" s="103" t="s">
        <v>1</v>
      </c>
      <c r="F137" s="66" t="s">
        <v>135</v>
      </c>
      <c r="G137" s="66" t="s">
        <v>135</v>
      </c>
      <c r="H137" s="66" t="s">
        <v>135</v>
      </c>
      <c r="I137" s="66" t="s">
        <v>291</v>
      </c>
      <c r="J137" s="67" t="s">
        <v>135</v>
      </c>
      <c r="K137" s="309"/>
      <c r="L137" s="68">
        <f t="shared" ref="L137:AB138" si="55">L138</f>
        <v>3544237.58</v>
      </c>
      <c r="M137" s="69">
        <f t="shared" si="55"/>
        <v>0</v>
      </c>
      <c r="N137" s="216">
        <f t="shared" si="55"/>
        <v>2877031.5</v>
      </c>
      <c r="O137" s="216">
        <f t="shared" si="55"/>
        <v>0</v>
      </c>
      <c r="P137" s="216">
        <f t="shared" si="55"/>
        <v>2877031.5</v>
      </c>
      <c r="Q137" s="215">
        <f t="shared" si="55"/>
        <v>2992119.81</v>
      </c>
      <c r="R137" s="216">
        <f t="shared" si="55"/>
        <v>0</v>
      </c>
      <c r="S137" s="216">
        <f t="shared" si="55"/>
        <v>0</v>
      </c>
      <c r="T137" s="216">
        <f t="shared" si="55"/>
        <v>2877031.5</v>
      </c>
      <c r="U137" s="217">
        <f t="shared" si="55"/>
        <v>2992119.81</v>
      </c>
      <c r="V137" s="216">
        <f t="shared" si="55"/>
        <v>3111762.52</v>
      </c>
      <c r="W137" s="215">
        <f t="shared" si="55"/>
        <v>0</v>
      </c>
      <c r="X137" s="215">
        <f t="shared" si="55"/>
        <v>0</v>
      </c>
      <c r="Y137" s="216">
        <f t="shared" si="55"/>
        <v>2992119.81</v>
      </c>
      <c r="Z137" s="217">
        <f t="shared" si="55"/>
        <v>3111762.52</v>
      </c>
      <c r="AA137" s="216">
        <f t="shared" si="55"/>
        <v>0</v>
      </c>
      <c r="AB137" s="216">
        <f t="shared" si="55"/>
        <v>3111762.52</v>
      </c>
    </row>
    <row r="138" spans="1:28" s="2" customFormat="1" ht="25.5" x14ac:dyDescent="0.2">
      <c r="A138" s="212" t="s">
        <v>21</v>
      </c>
      <c r="B138" s="58" t="s">
        <v>108</v>
      </c>
      <c r="C138" s="77" t="s">
        <v>74</v>
      </c>
      <c r="D138" s="77" t="s">
        <v>86</v>
      </c>
      <c r="E138" s="103" t="s">
        <v>1</v>
      </c>
      <c r="F138" s="70" t="s">
        <v>135</v>
      </c>
      <c r="G138" s="66" t="s">
        <v>135</v>
      </c>
      <c r="H138" s="66" t="s">
        <v>135</v>
      </c>
      <c r="I138" s="66" t="s">
        <v>291</v>
      </c>
      <c r="J138" s="67" t="s">
        <v>135</v>
      </c>
      <c r="K138" s="372">
        <v>600</v>
      </c>
      <c r="L138" s="68">
        <f t="shared" si="55"/>
        <v>3544237.58</v>
      </c>
      <c r="M138" s="69">
        <f t="shared" si="55"/>
        <v>0</v>
      </c>
      <c r="N138" s="216">
        <f t="shared" si="55"/>
        <v>2877031.5</v>
      </c>
      <c r="O138" s="216">
        <f t="shared" si="55"/>
        <v>0</v>
      </c>
      <c r="P138" s="216">
        <f t="shared" si="55"/>
        <v>2877031.5</v>
      </c>
      <c r="Q138" s="68">
        <f t="shared" si="55"/>
        <v>2992119.81</v>
      </c>
      <c r="R138" s="215">
        <f t="shared" si="55"/>
        <v>0</v>
      </c>
      <c r="S138" s="216">
        <f t="shared" si="55"/>
        <v>0</v>
      </c>
      <c r="T138" s="216">
        <f t="shared" si="55"/>
        <v>2877031.5</v>
      </c>
      <c r="U138" s="217">
        <f t="shared" si="55"/>
        <v>2992119.81</v>
      </c>
      <c r="V138" s="216">
        <f t="shared" si="55"/>
        <v>3111762.52</v>
      </c>
      <c r="W138" s="215">
        <f t="shared" si="55"/>
        <v>0</v>
      </c>
      <c r="X138" s="215">
        <f t="shared" si="55"/>
        <v>0</v>
      </c>
      <c r="Y138" s="216">
        <f t="shared" si="55"/>
        <v>2992119.81</v>
      </c>
      <c r="Z138" s="217">
        <f t="shared" si="55"/>
        <v>3111762.52</v>
      </c>
      <c r="AA138" s="216">
        <f t="shared" si="55"/>
        <v>0</v>
      </c>
      <c r="AB138" s="216">
        <f t="shared" si="55"/>
        <v>3111762.52</v>
      </c>
    </row>
    <row r="139" spans="1:28" s="2" customFormat="1" x14ac:dyDescent="0.2">
      <c r="A139" s="212" t="s">
        <v>22</v>
      </c>
      <c r="B139" s="58" t="s">
        <v>108</v>
      </c>
      <c r="C139" s="77" t="s">
        <v>74</v>
      </c>
      <c r="D139" s="77" t="s">
        <v>86</v>
      </c>
      <c r="E139" s="103" t="s">
        <v>1</v>
      </c>
      <c r="F139" s="70" t="s">
        <v>135</v>
      </c>
      <c r="G139" s="66" t="s">
        <v>135</v>
      </c>
      <c r="H139" s="66" t="s">
        <v>135</v>
      </c>
      <c r="I139" s="66" t="s">
        <v>291</v>
      </c>
      <c r="J139" s="67" t="s">
        <v>135</v>
      </c>
      <c r="K139" s="208" t="s">
        <v>23</v>
      </c>
      <c r="L139" s="68">
        <v>3544237.58</v>
      </c>
      <c r="M139" s="69">
        <v>0</v>
      </c>
      <c r="N139" s="216">
        <v>2877031.5</v>
      </c>
      <c r="O139" s="216">
        <v>0</v>
      </c>
      <c r="P139" s="216">
        <v>2877031.5</v>
      </c>
      <c r="Q139" s="68">
        <v>2992119.81</v>
      </c>
      <c r="R139" s="215">
        <v>0</v>
      </c>
      <c r="S139" s="216">
        <v>0</v>
      </c>
      <c r="T139" s="216">
        <v>2877031.5</v>
      </c>
      <c r="U139" s="217">
        <v>2992119.81</v>
      </c>
      <c r="V139" s="217">
        <v>3111762.52</v>
      </c>
      <c r="W139" s="215">
        <v>0</v>
      </c>
      <c r="X139" s="215">
        <v>0</v>
      </c>
      <c r="Y139" s="216">
        <v>2992119.81</v>
      </c>
      <c r="Z139" s="217">
        <v>3111762.52</v>
      </c>
      <c r="AA139" s="216">
        <v>0</v>
      </c>
      <c r="AB139" s="216">
        <v>3111762.52</v>
      </c>
    </row>
    <row r="140" spans="1:28" s="2" customFormat="1" ht="38.25" x14ac:dyDescent="0.2">
      <c r="A140" s="362" t="s">
        <v>347</v>
      </c>
      <c r="B140" s="60" t="s">
        <v>108</v>
      </c>
      <c r="C140" s="58" t="s">
        <v>74</v>
      </c>
      <c r="D140" s="58" t="s">
        <v>86</v>
      </c>
      <c r="E140" s="117" t="s">
        <v>1</v>
      </c>
      <c r="F140" s="73" t="s">
        <v>135</v>
      </c>
      <c r="G140" s="66" t="s">
        <v>135</v>
      </c>
      <c r="H140" s="66" t="s">
        <v>135</v>
      </c>
      <c r="I140" s="74" t="s">
        <v>389</v>
      </c>
      <c r="J140" s="67" t="s">
        <v>135</v>
      </c>
      <c r="K140" s="208"/>
      <c r="L140" s="68">
        <f t="shared" ref="L140:AB141" si="56">L141</f>
        <v>135143500</v>
      </c>
      <c r="M140" s="69">
        <f t="shared" si="56"/>
        <v>0</v>
      </c>
      <c r="N140" s="216">
        <f t="shared" si="56"/>
        <v>175000000</v>
      </c>
      <c r="O140" s="215">
        <f t="shared" si="56"/>
        <v>0</v>
      </c>
      <c r="P140" s="216">
        <f t="shared" si="56"/>
        <v>69000</v>
      </c>
      <c r="Q140" s="68">
        <f t="shared" si="56"/>
        <v>184000000</v>
      </c>
      <c r="R140" s="215">
        <f t="shared" si="56"/>
        <v>0</v>
      </c>
      <c r="S140" s="215">
        <f t="shared" si="56"/>
        <v>0</v>
      </c>
      <c r="T140" s="216">
        <f t="shared" si="56"/>
        <v>69000</v>
      </c>
      <c r="U140" s="217">
        <f t="shared" si="56"/>
        <v>0</v>
      </c>
      <c r="V140" s="217">
        <f t="shared" si="56"/>
        <v>190000000</v>
      </c>
      <c r="W140" s="215">
        <f t="shared" si="56"/>
        <v>0</v>
      </c>
      <c r="X140" s="215">
        <f t="shared" si="56"/>
        <v>0</v>
      </c>
      <c r="Y140" s="216">
        <f t="shared" si="56"/>
        <v>0</v>
      </c>
      <c r="Z140" s="217">
        <f t="shared" si="56"/>
        <v>0</v>
      </c>
      <c r="AA140" s="217">
        <f t="shared" si="56"/>
        <v>0</v>
      </c>
      <c r="AB140" s="216">
        <f t="shared" si="56"/>
        <v>0</v>
      </c>
    </row>
    <row r="141" spans="1:28" s="2" customFormat="1" ht="25.5" x14ac:dyDescent="0.2">
      <c r="A141" s="364" t="s">
        <v>126</v>
      </c>
      <c r="B141" s="60" t="s">
        <v>108</v>
      </c>
      <c r="C141" s="58" t="s">
        <v>74</v>
      </c>
      <c r="D141" s="58" t="s">
        <v>86</v>
      </c>
      <c r="E141" s="117" t="s">
        <v>1</v>
      </c>
      <c r="F141" s="73" t="s">
        <v>135</v>
      </c>
      <c r="G141" s="66" t="s">
        <v>135</v>
      </c>
      <c r="H141" s="66" t="s">
        <v>135</v>
      </c>
      <c r="I141" s="74" t="s">
        <v>389</v>
      </c>
      <c r="J141" s="67" t="s">
        <v>135</v>
      </c>
      <c r="K141" s="208" t="s">
        <v>53</v>
      </c>
      <c r="L141" s="68">
        <f t="shared" si="56"/>
        <v>135143500</v>
      </c>
      <c r="M141" s="69">
        <f t="shared" si="56"/>
        <v>0</v>
      </c>
      <c r="N141" s="216">
        <f t="shared" si="56"/>
        <v>175000000</v>
      </c>
      <c r="O141" s="215">
        <f t="shared" si="56"/>
        <v>0</v>
      </c>
      <c r="P141" s="216">
        <f t="shared" si="56"/>
        <v>69000</v>
      </c>
      <c r="Q141" s="68">
        <f t="shared" si="56"/>
        <v>184000000</v>
      </c>
      <c r="R141" s="215">
        <f t="shared" si="56"/>
        <v>0</v>
      </c>
      <c r="S141" s="215">
        <f t="shared" si="56"/>
        <v>0</v>
      </c>
      <c r="T141" s="216">
        <f t="shared" si="56"/>
        <v>69000</v>
      </c>
      <c r="U141" s="217">
        <f t="shared" si="56"/>
        <v>0</v>
      </c>
      <c r="V141" s="217">
        <f t="shared" si="56"/>
        <v>190000000</v>
      </c>
      <c r="W141" s="215">
        <f t="shared" si="56"/>
        <v>0</v>
      </c>
      <c r="X141" s="215">
        <f t="shared" si="56"/>
        <v>0</v>
      </c>
      <c r="Y141" s="216">
        <f t="shared" si="56"/>
        <v>0</v>
      </c>
      <c r="Z141" s="217">
        <f t="shared" si="56"/>
        <v>0</v>
      </c>
      <c r="AA141" s="216">
        <f t="shared" si="56"/>
        <v>0</v>
      </c>
      <c r="AB141" s="217">
        <f t="shared" si="56"/>
        <v>0</v>
      </c>
    </row>
    <row r="142" spans="1:28" s="2" customFormat="1" ht="25.5" x14ac:dyDescent="0.2">
      <c r="A142" s="364" t="s">
        <v>54</v>
      </c>
      <c r="B142" s="60" t="s">
        <v>108</v>
      </c>
      <c r="C142" s="58" t="s">
        <v>74</v>
      </c>
      <c r="D142" s="58" t="s">
        <v>86</v>
      </c>
      <c r="E142" s="117" t="s">
        <v>1</v>
      </c>
      <c r="F142" s="73" t="s">
        <v>135</v>
      </c>
      <c r="G142" s="66" t="s">
        <v>135</v>
      </c>
      <c r="H142" s="66" t="s">
        <v>135</v>
      </c>
      <c r="I142" s="74" t="s">
        <v>389</v>
      </c>
      <c r="J142" s="67" t="s">
        <v>135</v>
      </c>
      <c r="K142" s="208" t="s">
        <v>55</v>
      </c>
      <c r="L142" s="68">
        <v>135143500</v>
      </c>
      <c r="M142" s="69">
        <v>0</v>
      </c>
      <c r="N142" s="216">
        <v>175000000</v>
      </c>
      <c r="O142" s="215">
        <v>0</v>
      </c>
      <c r="P142" s="216">
        <v>69000</v>
      </c>
      <c r="Q142" s="68">
        <v>184000000</v>
      </c>
      <c r="R142" s="215">
        <v>0</v>
      </c>
      <c r="S142" s="215">
        <v>0</v>
      </c>
      <c r="T142" s="216">
        <f>P142</f>
        <v>69000</v>
      </c>
      <c r="U142" s="217">
        <v>0</v>
      </c>
      <c r="V142" s="217">
        <v>190000000</v>
      </c>
      <c r="W142" s="215">
        <v>0</v>
      </c>
      <c r="X142" s="215">
        <v>0</v>
      </c>
      <c r="Y142" s="216">
        <v>0</v>
      </c>
      <c r="Z142" s="217">
        <v>0</v>
      </c>
      <c r="AA142" s="216">
        <v>0</v>
      </c>
      <c r="AB142" s="217">
        <v>0</v>
      </c>
    </row>
    <row r="143" spans="1:28" s="2" customFormat="1" ht="51" x14ac:dyDescent="0.2">
      <c r="A143" s="362" t="s">
        <v>413</v>
      </c>
      <c r="B143" s="60" t="s">
        <v>108</v>
      </c>
      <c r="C143" s="77" t="s">
        <v>74</v>
      </c>
      <c r="D143" s="78" t="s">
        <v>86</v>
      </c>
      <c r="E143" s="66" t="s">
        <v>1</v>
      </c>
      <c r="F143" s="66" t="s">
        <v>135</v>
      </c>
      <c r="G143" s="66" t="s">
        <v>135</v>
      </c>
      <c r="H143" s="66" t="s">
        <v>135</v>
      </c>
      <c r="I143" s="66" t="s">
        <v>412</v>
      </c>
      <c r="J143" s="67" t="s">
        <v>135</v>
      </c>
      <c r="K143" s="214"/>
      <c r="L143" s="68"/>
      <c r="M143" s="69"/>
      <c r="N143" s="502">
        <f t="shared" ref="N143:AB144" si="57">N144</f>
        <v>344827.8</v>
      </c>
      <c r="O143" s="69">
        <f t="shared" si="57"/>
        <v>0</v>
      </c>
      <c r="P143" s="216">
        <f t="shared" si="57"/>
        <v>103448.34</v>
      </c>
      <c r="Q143" s="68">
        <f t="shared" si="57"/>
        <v>0</v>
      </c>
      <c r="R143" s="69">
        <f t="shared" si="57"/>
        <v>0</v>
      </c>
      <c r="S143" s="215">
        <f t="shared" si="57"/>
        <v>241379.46</v>
      </c>
      <c r="T143" s="216">
        <f t="shared" si="57"/>
        <v>344827.8</v>
      </c>
      <c r="U143" s="217">
        <f t="shared" si="57"/>
        <v>0</v>
      </c>
      <c r="V143" s="498">
        <f t="shared" si="57"/>
        <v>0</v>
      </c>
      <c r="W143" s="215"/>
      <c r="X143" s="215">
        <f t="shared" si="57"/>
        <v>186373.92</v>
      </c>
      <c r="Y143" s="216">
        <f t="shared" si="57"/>
        <v>186373.92</v>
      </c>
      <c r="Z143" s="217">
        <f t="shared" si="57"/>
        <v>0</v>
      </c>
      <c r="AA143" s="216">
        <f t="shared" si="57"/>
        <v>186373.92</v>
      </c>
      <c r="AB143" s="217">
        <f t="shared" si="57"/>
        <v>186373.92</v>
      </c>
    </row>
    <row r="144" spans="1:28" s="2" customFormat="1" x14ac:dyDescent="0.2">
      <c r="A144" s="362" t="s">
        <v>56</v>
      </c>
      <c r="B144" s="60" t="s">
        <v>108</v>
      </c>
      <c r="C144" s="77" t="s">
        <v>74</v>
      </c>
      <c r="D144" s="78" t="s">
        <v>86</v>
      </c>
      <c r="E144" s="66" t="s">
        <v>1</v>
      </c>
      <c r="F144" s="66" t="s">
        <v>135</v>
      </c>
      <c r="G144" s="66" t="s">
        <v>135</v>
      </c>
      <c r="H144" s="66" t="s">
        <v>135</v>
      </c>
      <c r="I144" s="66" t="s">
        <v>412</v>
      </c>
      <c r="J144" s="67" t="s">
        <v>135</v>
      </c>
      <c r="K144" s="214" t="s">
        <v>57</v>
      </c>
      <c r="L144" s="68"/>
      <c r="M144" s="69"/>
      <c r="N144" s="502">
        <f t="shared" si="57"/>
        <v>344827.8</v>
      </c>
      <c r="O144" s="69">
        <f t="shared" si="57"/>
        <v>0</v>
      </c>
      <c r="P144" s="216">
        <f t="shared" si="57"/>
        <v>103448.34</v>
      </c>
      <c r="Q144" s="68">
        <f t="shared" si="57"/>
        <v>0</v>
      </c>
      <c r="R144" s="69">
        <f t="shared" si="57"/>
        <v>0</v>
      </c>
      <c r="S144" s="215">
        <f t="shared" si="57"/>
        <v>241379.46</v>
      </c>
      <c r="T144" s="216">
        <f t="shared" si="57"/>
        <v>344827.8</v>
      </c>
      <c r="U144" s="217">
        <f t="shared" si="57"/>
        <v>0</v>
      </c>
      <c r="V144" s="498">
        <f t="shared" si="57"/>
        <v>0</v>
      </c>
      <c r="W144" s="215"/>
      <c r="X144" s="215">
        <f t="shared" si="57"/>
        <v>186373.92</v>
      </c>
      <c r="Y144" s="216">
        <f t="shared" si="57"/>
        <v>186373.92</v>
      </c>
      <c r="Z144" s="217">
        <f t="shared" si="57"/>
        <v>0</v>
      </c>
      <c r="AA144" s="216">
        <f t="shared" si="57"/>
        <v>186373.92</v>
      </c>
      <c r="AB144" s="217">
        <f t="shared" si="57"/>
        <v>186373.92</v>
      </c>
    </row>
    <row r="145" spans="1:28" s="2" customFormat="1" x14ac:dyDescent="0.2">
      <c r="A145" s="362" t="s">
        <v>377</v>
      </c>
      <c r="B145" s="60" t="s">
        <v>108</v>
      </c>
      <c r="C145" s="77" t="s">
        <v>74</v>
      </c>
      <c r="D145" s="78" t="s">
        <v>86</v>
      </c>
      <c r="E145" s="66" t="s">
        <v>1</v>
      </c>
      <c r="F145" s="66" t="s">
        <v>135</v>
      </c>
      <c r="G145" s="66" t="s">
        <v>135</v>
      </c>
      <c r="H145" s="66" t="s">
        <v>135</v>
      </c>
      <c r="I145" s="66" t="s">
        <v>412</v>
      </c>
      <c r="J145" s="67" t="s">
        <v>135</v>
      </c>
      <c r="K145" s="214" t="s">
        <v>376</v>
      </c>
      <c r="L145" s="68"/>
      <c r="M145" s="69"/>
      <c r="N145" s="502">
        <v>344827.8</v>
      </c>
      <c r="O145" s="69">
        <v>0</v>
      </c>
      <c r="P145" s="216">
        <v>103448.34</v>
      </c>
      <c r="Q145" s="68">
        <v>0</v>
      </c>
      <c r="R145" s="69">
        <v>0</v>
      </c>
      <c r="S145" s="215">
        <v>241379.46</v>
      </c>
      <c r="T145" s="216">
        <f>S145+P145</f>
        <v>344827.8</v>
      </c>
      <c r="U145" s="217">
        <v>0</v>
      </c>
      <c r="V145" s="498">
        <v>0</v>
      </c>
      <c r="W145" s="215"/>
      <c r="X145" s="215">
        <v>186373.92</v>
      </c>
      <c r="Y145" s="216">
        <f>X145</f>
        <v>186373.92</v>
      </c>
      <c r="Z145" s="217">
        <v>0</v>
      </c>
      <c r="AA145" s="216">
        <v>186373.92</v>
      </c>
      <c r="AB145" s="217">
        <f>AA145</f>
        <v>186373.92</v>
      </c>
    </row>
    <row r="146" spans="1:28" x14ac:dyDescent="0.2">
      <c r="A146" s="363" t="s">
        <v>79</v>
      </c>
      <c r="B146" s="60" t="s">
        <v>108</v>
      </c>
      <c r="C146" s="77" t="s">
        <v>88</v>
      </c>
      <c r="D146" s="77"/>
      <c r="E146" s="77"/>
      <c r="F146" s="82"/>
      <c r="G146" s="66"/>
      <c r="H146" s="66"/>
      <c r="I146" s="71"/>
      <c r="J146" s="83"/>
      <c r="K146" s="208"/>
      <c r="L146" s="68">
        <f t="shared" ref="L146:P150" si="58">L147</f>
        <v>6102176.6600000001</v>
      </c>
      <c r="M146" s="69">
        <f t="shared" si="58"/>
        <v>0</v>
      </c>
      <c r="N146" s="216">
        <f t="shared" si="58"/>
        <v>7154624.5999999996</v>
      </c>
      <c r="O146" s="215">
        <f t="shared" si="58"/>
        <v>-8776.1</v>
      </c>
      <c r="P146" s="216">
        <f t="shared" si="58"/>
        <v>8322348.5</v>
      </c>
      <c r="Q146" s="68">
        <f t="shared" ref="Q146:AB150" si="59">Q147</f>
        <v>7534320</v>
      </c>
      <c r="R146" s="215">
        <f t="shared" si="59"/>
        <v>-869170</v>
      </c>
      <c r="S146" s="215">
        <f t="shared" si="59"/>
        <v>0</v>
      </c>
      <c r="T146" s="216">
        <f t="shared" si="59"/>
        <v>8322348.5</v>
      </c>
      <c r="U146" s="217">
        <f t="shared" si="59"/>
        <v>6665150</v>
      </c>
      <c r="V146" s="217">
        <f t="shared" si="59"/>
        <v>7534020</v>
      </c>
      <c r="W146" s="215">
        <f t="shared" si="59"/>
        <v>-3409600</v>
      </c>
      <c r="X146" s="215">
        <f t="shared" si="59"/>
        <v>0</v>
      </c>
      <c r="Y146" s="216">
        <f t="shared" si="59"/>
        <v>6665150</v>
      </c>
      <c r="Z146" s="217">
        <f t="shared" si="59"/>
        <v>4124420</v>
      </c>
      <c r="AA146" s="216">
        <f t="shared" si="59"/>
        <v>0</v>
      </c>
      <c r="AB146" s="217">
        <f t="shared" si="59"/>
        <v>4124420</v>
      </c>
    </row>
    <row r="147" spans="1:28" x14ac:dyDescent="0.2">
      <c r="A147" s="363" t="s">
        <v>111</v>
      </c>
      <c r="B147" s="60" t="s">
        <v>108</v>
      </c>
      <c r="C147" s="77" t="s">
        <v>88</v>
      </c>
      <c r="D147" s="77" t="s">
        <v>71</v>
      </c>
      <c r="E147" s="77"/>
      <c r="F147" s="82"/>
      <c r="G147" s="66"/>
      <c r="H147" s="66"/>
      <c r="I147" s="71"/>
      <c r="J147" s="83"/>
      <c r="K147" s="208"/>
      <c r="L147" s="68">
        <f t="shared" si="58"/>
        <v>6102176.6600000001</v>
      </c>
      <c r="M147" s="69">
        <f t="shared" si="58"/>
        <v>0</v>
      </c>
      <c r="N147" s="216">
        <f t="shared" si="58"/>
        <v>7154624.5999999996</v>
      </c>
      <c r="O147" s="215">
        <f t="shared" si="58"/>
        <v>-8776.1</v>
      </c>
      <c r="P147" s="216">
        <f t="shared" si="58"/>
        <v>8322348.5</v>
      </c>
      <c r="Q147" s="68">
        <f t="shared" si="59"/>
        <v>7534320</v>
      </c>
      <c r="R147" s="215">
        <f t="shared" si="59"/>
        <v>-869170</v>
      </c>
      <c r="S147" s="215">
        <f t="shared" si="59"/>
        <v>0</v>
      </c>
      <c r="T147" s="216">
        <f t="shared" si="59"/>
        <v>8322348.5</v>
      </c>
      <c r="U147" s="217">
        <f t="shared" si="59"/>
        <v>6665150</v>
      </c>
      <c r="V147" s="217">
        <f t="shared" si="59"/>
        <v>7534020</v>
      </c>
      <c r="W147" s="215">
        <f t="shared" si="59"/>
        <v>-3409600</v>
      </c>
      <c r="X147" s="215">
        <f t="shared" si="59"/>
        <v>0</v>
      </c>
      <c r="Y147" s="216">
        <f t="shared" si="59"/>
        <v>6665150</v>
      </c>
      <c r="Z147" s="217">
        <f t="shared" si="59"/>
        <v>4124420</v>
      </c>
      <c r="AA147" s="216">
        <f t="shared" si="59"/>
        <v>0</v>
      </c>
      <c r="AB147" s="217">
        <f t="shared" si="59"/>
        <v>4124420</v>
      </c>
    </row>
    <row r="148" spans="1:28" ht="25.5" x14ac:dyDescent="0.2">
      <c r="A148" s="362" t="s">
        <v>312</v>
      </c>
      <c r="B148" s="60" t="s">
        <v>108</v>
      </c>
      <c r="C148" s="77" t="s">
        <v>88</v>
      </c>
      <c r="D148" s="77" t="s">
        <v>71</v>
      </c>
      <c r="E148" s="77" t="s">
        <v>1</v>
      </c>
      <c r="F148" s="82" t="s">
        <v>135</v>
      </c>
      <c r="G148" s="66" t="s">
        <v>135</v>
      </c>
      <c r="H148" s="66" t="s">
        <v>135</v>
      </c>
      <c r="I148" s="71" t="s">
        <v>136</v>
      </c>
      <c r="J148" s="67" t="s">
        <v>135</v>
      </c>
      <c r="K148" s="208"/>
      <c r="L148" s="68">
        <f>L149</f>
        <v>6102176.6600000001</v>
      </c>
      <c r="M148" s="69">
        <f>M149</f>
        <v>0</v>
      </c>
      <c r="N148" s="216">
        <f>N149</f>
        <v>7154624.5999999996</v>
      </c>
      <c r="O148" s="216">
        <f>O149</f>
        <v>-8776.1</v>
      </c>
      <c r="P148" s="216">
        <f>P149+P152</f>
        <v>8322348.5</v>
      </c>
      <c r="Q148" s="217">
        <f t="shared" ref="Q148:AB148" si="60">Q149+Q152</f>
        <v>7534320</v>
      </c>
      <c r="R148" s="215">
        <f t="shared" si="60"/>
        <v>-869170</v>
      </c>
      <c r="S148" s="215">
        <f t="shared" si="60"/>
        <v>0</v>
      </c>
      <c r="T148" s="216">
        <f t="shared" si="60"/>
        <v>8322348.5</v>
      </c>
      <c r="U148" s="217">
        <f t="shared" si="60"/>
        <v>6665150</v>
      </c>
      <c r="V148" s="217">
        <f t="shared" si="60"/>
        <v>7534020</v>
      </c>
      <c r="W148" s="216">
        <f t="shared" si="60"/>
        <v>-3409600</v>
      </c>
      <c r="X148" s="215">
        <f t="shared" si="60"/>
        <v>0</v>
      </c>
      <c r="Y148" s="216">
        <f t="shared" si="60"/>
        <v>6665150</v>
      </c>
      <c r="Z148" s="217">
        <f t="shared" si="60"/>
        <v>4124420</v>
      </c>
      <c r="AA148" s="217">
        <f t="shared" si="60"/>
        <v>0</v>
      </c>
      <c r="AB148" s="216">
        <f t="shared" si="60"/>
        <v>4124420</v>
      </c>
    </row>
    <row r="149" spans="1:28" ht="71.25" customHeight="1" x14ac:dyDescent="0.2">
      <c r="A149" s="207" t="s">
        <v>274</v>
      </c>
      <c r="B149" s="58" t="s">
        <v>108</v>
      </c>
      <c r="C149" s="77" t="s">
        <v>88</v>
      </c>
      <c r="D149" s="77" t="s">
        <v>71</v>
      </c>
      <c r="E149" s="77" t="s">
        <v>1</v>
      </c>
      <c r="F149" s="82" t="s">
        <v>135</v>
      </c>
      <c r="G149" s="66" t="s">
        <v>135</v>
      </c>
      <c r="H149" s="66" t="s">
        <v>135</v>
      </c>
      <c r="I149" s="71" t="s">
        <v>275</v>
      </c>
      <c r="J149" s="67" t="s">
        <v>135</v>
      </c>
      <c r="K149" s="372"/>
      <c r="L149" s="68">
        <f t="shared" si="58"/>
        <v>6102176.6600000001</v>
      </c>
      <c r="M149" s="69">
        <f t="shared" si="58"/>
        <v>0</v>
      </c>
      <c r="N149" s="216">
        <f t="shared" si="58"/>
        <v>7154624.5999999996</v>
      </c>
      <c r="O149" s="216">
        <f t="shared" si="58"/>
        <v>-8776.1</v>
      </c>
      <c r="P149" s="216">
        <f t="shared" si="58"/>
        <v>7145848.5</v>
      </c>
      <c r="Q149" s="68">
        <f t="shared" si="59"/>
        <v>7534320</v>
      </c>
      <c r="R149" s="215">
        <f t="shared" si="59"/>
        <v>-869170</v>
      </c>
      <c r="S149" s="215">
        <f t="shared" si="59"/>
        <v>0</v>
      </c>
      <c r="T149" s="216">
        <f t="shared" si="59"/>
        <v>7145848.5</v>
      </c>
      <c r="U149" s="217">
        <f t="shared" si="59"/>
        <v>6665150</v>
      </c>
      <c r="V149" s="216">
        <f t="shared" si="59"/>
        <v>7534020</v>
      </c>
      <c r="W149" s="215">
        <f t="shared" si="59"/>
        <v>-3409600</v>
      </c>
      <c r="X149" s="215">
        <f t="shared" si="59"/>
        <v>0</v>
      </c>
      <c r="Y149" s="216">
        <f t="shared" si="59"/>
        <v>6665150</v>
      </c>
      <c r="Z149" s="217">
        <f t="shared" si="59"/>
        <v>4124420</v>
      </c>
      <c r="AA149" s="217">
        <f t="shared" si="59"/>
        <v>0</v>
      </c>
      <c r="AB149" s="216">
        <f t="shared" si="59"/>
        <v>4124420</v>
      </c>
    </row>
    <row r="150" spans="1:28" ht="31.5" customHeight="1" x14ac:dyDescent="0.2">
      <c r="A150" s="212" t="s">
        <v>21</v>
      </c>
      <c r="B150" s="58" t="s">
        <v>108</v>
      </c>
      <c r="C150" s="77" t="s">
        <v>88</v>
      </c>
      <c r="D150" s="77" t="s">
        <v>71</v>
      </c>
      <c r="E150" s="77" t="s">
        <v>1</v>
      </c>
      <c r="F150" s="82" t="s">
        <v>135</v>
      </c>
      <c r="G150" s="66" t="s">
        <v>135</v>
      </c>
      <c r="H150" s="66" t="s">
        <v>135</v>
      </c>
      <c r="I150" s="71" t="s">
        <v>275</v>
      </c>
      <c r="J150" s="67" t="s">
        <v>135</v>
      </c>
      <c r="K150" s="208" t="s">
        <v>149</v>
      </c>
      <c r="L150" s="68">
        <f t="shared" si="58"/>
        <v>6102176.6600000001</v>
      </c>
      <c r="M150" s="69">
        <f t="shared" si="58"/>
        <v>0</v>
      </c>
      <c r="N150" s="216">
        <f t="shared" si="58"/>
        <v>7154624.5999999996</v>
      </c>
      <c r="O150" s="216">
        <f t="shared" si="58"/>
        <v>-8776.1</v>
      </c>
      <c r="P150" s="216">
        <f t="shared" si="58"/>
        <v>7145848.5</v>
      </c>
      <c r="Q150" s="68">
        <f t="shared" si="59"/>
        <v>7534320</v>
      </c>
      <c r="R150" s="215">
        <f t="shared" si="59"/>
        <v>-869170</v>
      </c>
      <c r="S150" s="216">
        <f t="shared" si="59"/>
        <v>0</v>
      </c>
      <c r="T150" s="216">
        <f t="shared" si="59"/>
        <v>7145848.5</v>
      </c>
      <c r="U150" s="217">
        <f t="shared" si="59"/>
        <v>6665150</v>
      </c>
      <c r="V150" s="216">
        <f t="shared" si="59"/>
        <v>7534020</v>
      </c>
      <c r="W150" s="215">
        <f t="shared" si="59"/>
        <v>-3409600</v>
      </c>
      <c r="X150" s="215">
        <f t="shared" si="59"/>
        <v>0</v>
      </c>
      <c r="Y150" s="216">
        <f t="shared" si="59"/>
        <v>6665150</v>
      </c>
      <c r="Z150" s="217">
        <f t="shared" si="59"/>
        <v>4124420</v>
      </c>
      <c r="AA150" s="216">
        <f t="shared" si="59"/>
        <v>0</v>
      </c>
      <c r="AB150" s="216">
        <f t="shared" si="59"/>
        <v>4124420</v>
      </c>
    </row>
    <row r="151" spans="1:28" ht="20.25" customHeight="1" x14ac:dyDescent="0.2">
      <c r="A151" s="362" t="s">
        <v>22</v>
      </c>
      <c r="B151" s="60" t="s">
        <v>108</v>
      </c>
      <c r="C151" s="77" t="s">
        <v>88</v>
      </c>
      <c r="D151" s="77" t="s">
        <v>71</v>
      </c>
      <c r="E151" s="77" t="s">
        <v>1</v>
      </c>
      <c r="F151" s="82" t="s">
        <v>135</v>
      </c>
      <c r="G151" s="66" t="s">
        <v>135</v>
      </c>
      <c r="H151" s="66" t="s">
        <v>135</v>
      </c>
      <c r="I151" s="71" t="s">
        <v>275</v>
      </c>
      <c r="J151" s="67" t="s">
        <v>135</v>
      </c>
      <c r="K151" s="208" t="s">
        <v>23</v>
      </c>
      <c r="L151" s="68">
        <v>6102176.6600000001</v>
      </c>
      <c r="M151" s="69">
        <v>0</v>
      </c>
      <c r="N151" s="216">
        <v>7154624.5999999996</v>
      </c>
      <c r="O151" s="215">
        <v>-8776.1</v>
      </c>
      <c r="P151" s="216">
        <f>O151+N151</f>
        <v>7145848.5</v>
      </c>
      <c r="Q151" s="68">
        <v>7534320</v>
      </c>
      <c r="R151" s="216">
        <v>-869170</v>
      </c>
      <c r="S151" s="215">
        <v>0</v>
      </c>
      <c r="T151" s="216">
        <v>7145848.5</v>
      </c>
      <c r="U151" s="217">
        <f>R151+Q151</f>
        <v>6665150</v>
      </c>
      <c r="V151" s="217">
        <v>7534020</v>
      </c>
      <c r="W151" s="215">
        <v>-3409600</v>
      </c>
      <c r="X151" s="215">
        <v>0</v>
      </c>
      <c r="Y151" s="216">
        <v>6665150</v>
      </c>
      <c r="Z151" s="217">
        <f>W151+V151</f>
        <v>4124420</v>
      </c>
      <c r="AA151" s="216">
        <v>0</v>
      </c>
      <c r="AB151" s="216">
        <v>4124420</v>
      </c>
    </row>
    <row r="152" spans="1:28" ht="213" customHeight="1" x14ac:dyDescent="0.2">
      <c r="A152" s="363" t="s">
        <v>415</v>
      </c>
      <c r="B152" s="60" t="s">
        <v>108</v>
      </c>
      <c r="C152" s="77" t="s">
        <v>88</v>
      </c>
      <c r="D152" s="78" t="s">
        <v>71</v>
      </c>
      <c r="E152" s="79" t="s">
        <v>1</v>
      </c>
      <c r="F152" s="82" t="s">
        <v>135</v>
      </c>
      <c r="G152" s="66" t="s">
        <v>135</v>
      </c>
      <c r="H152" s="66" t="s">
        <v>135</v>
      </c>
      <c r="I152" s="71" t="s">
        <v>401</v>
      </c>
      <c r="J152" s="67" t="s">
        <v>135</v>
      </c>
      <c r="K152" s="208"/>
      <c r="L152" s="68"/>
      <c r="M152" s="69"/>
      <c r="N152" s="502">
        <f t="shared" ref="N152:AB165" si="61">N153</f>
        <v>493076</v>
      </c>
      <c r="O152" s="69">
        <f t="shared" si="61"/>
        <v>198957</v>
      </c>
      <c r="P152" s="216">
        <f t="shared" si="61"/>
        <v>1176500</v>
      </c>
      <c r="Q152" s="498">
        <f t="shared" si="61"/>
        <v>0</v>
      </c>
      <c r="R152" s="69">
        <f t="shared" si="61"/>
        <v>0</v>
      </c>
      <c r="S152" s="215">
        <f t="shared" si="61"/>
        <v>0</v>
      </c>
      <c r="T152" s="216">
        <f t="shared" si="61"/>
        <v>1176500</v>
      </c>
      <c r="U152" s="217">
        <f t="shared" si="61"/>
        <v>0</v>
      </c>
      <c r="V152" s="498">
        <f t="shared" si="61"/>
        <v>0</v>
      </c>
      <c r="W152" s="215"/>
      <c r="X152" s="215">
        <f t="shared" si="61"/>
        <v>0</v>
      </c>
      <c r="Y152" s="216">
        <f t="shared" si="61"/>
        <v>0</v>
      </c>
      <c r="Z152" s="217">
        <f t="shared" si="61"/>
        <v>0</v>
      </c>
      <c r="AA152" s="216">
        <f t="shared" si="61"/>
        <v>0</v>
      </c>
      <c r="AB152" s="217">
        <f t="shared" si="61"/>
        <v>0</v>
      </c>
    </row>
    <row r="153" spans="1:28" ht="36.75" customHeight="1" x14ac:dyDescent="0.2">
      <c r="A153" s="362" t="s">
        <v>21</v>
      </c>
      <c r="B153" s="60" t="s">
        <v>108</v>
      </c>
      <c r="C153" s="77" t="s">
        <v>88</v>
      </c>
      <c r="D153" s="78" t="s">
        <v>71</v>
      </c>
      <c r="E153" s="79" t="s">
        <v>1</v>
      </c>
      <c r="F153" s="82" t="s">
        <v>135</v>
      </c>
      <c r="G153" s="66" t="s">
        <v>135</v>
      </c>
      <c r="H153" s="66" t="s">
        <v>135</v>
      </c>
      <c r="I153" s="71" t="s">
        <v>401</v>
      </c>
      <c r="J153" s="67" t="s">
        <v>135</v>
      </c>
      <c r="K153" s="208" t="s">
        <v>149</v>
      </c>
      <c r="L153" s="68"/>
      <c r="M153" s="69"/>
      <c r="N153" s="502">
        <f t="shared" si="61"/>
        <v>493076</v>
      </c>
      <c r="O153" s="69">
        <f t="shared" si="61"/>
        <v>198957</v>
      </c>
      <c r="P153" s="216">
        <f t="shared" si="61"/>
        <v>1176500</v>
      </c>
      <c r="Q153" s="498">
        <f t="shared" si="61"/>
        <v>0</v>
      </c>
      <c r="R153" s="69">
        <f t="shared" si="61"/>
        <v>0</v>
      </c>
      <c r="S153" s="215">
        <f t="shared" si="61"/>
        <v>0</v>
      </c>
      <c r="T153" s="216">
        <f t="shared" si="61"/>
        <v>1176500</v>
      </c>
      <c r="U153" s="217">
        <f t="shared" si="61"/>
        <v>0</v>
      </c>
      <c r="V153" s="498">
        <f t="shared" si="61"/>
        <v>0</v>
      </c>
      <c r="W153" s="215"/>
      <c r="X153" s="215">
        <f t="shared" si="61"/>
        <v>0</v>
      </c>
      <c r="Y153" s="216">
        <f t="shared" si="61"/>
        <v>0</v>
      </c>
      <c r="Z153" s="217">
        <f t="shared" si="61"/>
        <v>0</v>
      </c>
      <c r="AA153" s="216">
        <f t="shared" si="61"/>
        <v>0</v>
      </c>
      <c r="AB153" s="217">
        <f t="shared" si="61"/>
        <v>0</v>
      </c>
    </row>
    <row r="154" spans="1:28" ht="20.25" customHeight="1" x14ac:dyDescent="0.2">
      <c r="A154" s="212" t="s">
        <v>22</v>
      </c>
      <c r="B154" s="59" t="s">
        <v>108</v>
      </c>
      <c r="C154" s="77" t="s">
        <v>88</v>
      </c>
      <c r="D154" s="78" t="s">
        <v>71</v>
      </c>
      <c r="E154" s="79" t="s">
        <v>1</v>
      </c>
      <c r="F154" s="82" t="s">
        <v>135</v>
      </c>
      <c r="G154" s="66" t="s">
        <v>135</v>
      </c>
      <c r="H154" s="66" t="s">
        <v>135</v>
      </c>
      <c r="I154" s="71" t="s">
        <v>401</v>
      </c>
      <c r="J154" s="67" t="s">
        <v>135</v>
      </c>
      <c r="K154" s="208" t="s">
        <v>23</v>
      </c>
      <c r="L154" s="68"/>
      <c r="M154" s="69"/>
      <c r="N154" s="502">
        <v>493076</v>
      </c>
      <c r="O154" s="69">
        <f>51160+76387+13110+58300</f>
        <v>198957</v>
      </c>
      <c r="P154" s="216">
        <v>1176500</v>
      </c>
      <c r="Q154" s="498">
        <v>0</v>
      </c>
      <c r="R154" s="69">
        <v>0</v>
      </c>
      <c r="S154" s="215">
        <v>0</v>
      </c>
      <c r="T154" s="216">
        <f>P153</f>
        <v>1176500</v>
      </c>
      <c r="U154" s="217">
        <v>0</v>
      </c>
      <c r="V154" s="498">
        <v>0</v>
      </c>
      <c r="W154" s="215"/>
      <c r="X154" s="215">
        <v>0</v>
      </c>
      <c r="Y154" s="216">
        <v>0</v>
      </c>
      <c r="Z154" s="217">
        <v>0</v>
      </c>
      <c r="AA154" s="216">
        <v>0</v>
      </c>
      <c r="AB154" s="217">
        <v>0</v>
      </c>
    </row>
    <row r="155" spans="1:28" ht="20.25" customHeight="1" x14ac:dyDescent="0.2">
      <c r="A155" s="207" t="s">
        <v>42</v>
      </c>
      <c r="B155" s="59" t="s">
        <v>108</v>
      </c>
      <c r="C155" s="78" t="s">
        <v>95</v>
      </c>
      <c r="D155" s="79"/>
      <c r="E155" s="77"/>
      <c r="F155" s="82"/>
      <c r="G155" s="66"/>
      <c r="H155" s="66"/>
      <c r="I155" s="71"/>
      <c r="J155" s="83"/>
      <c r="K155" s="208"/>
      <c r="L155" s="68"/>
      <c r="M155" s="69"/>
      <c r="N155" s="68"/>
      <c r="O155" s="68"/>
      <c r="P155" s="216">
        <f>P156</f>
        <v>1181720.43</v>
      </c>
      <c r="Q155" s="498"/>
      <c r="R155" s="69"/>
      <c r="S155" s="215">
        <f t="shared" ref="S155:T156" si="62">S156</f>
        <v>38052799.799999997</v>
      </c>
      <c r="T155" s="216">
        <f t="shared" si="62"/>
        <v>39234520.230000004</v>
      </c>
      <c r="U155" s="217">
        <f t="shared" si="61"/>
        <v>0</v>
      </c>
      <c r="V155" s="217">
        <f t="shared" si="61"/>
        <v>1707205</v>
      </c>
      <c r="W155" s="69">
        <f t="shared" si="61"/>
        <v>533471</v>
      </c>
      <c r="X155" s="215">
        <f t="shared" si="61"/>
        <v>0</v>
      </c>
      <c r="Y155" s="216">
        <f t="shared" si="61"/>
        <v>0</v>
      </c>
      <c r="Z155" s="217">
        <f t="shared" si="61"/>
        <v>0</v>
      </c>
      <c r="AA155" s="216">
        <f t="shared" si="61"/>
        <v>0</v>
      </c>
      <c r="AB155" s="217">
        <f t="shared" si="61"/>
        <v>0</v>
      </c>
    </row>
    <row r="156" spans="1:28" ht="20.25" customHeight="1" x14ac:dyDescent="0.2">
      <c r="A156" s="207" t="s">
        <v>387</v>
      </c>
      <c r="B156" s="59" t="s">
        <v>108</v>
      </c>
      <c r="C156" s="78" t="s">
        <v>95</v>
      </c>
      <c r="D156" s="79" t="s">
        <v>76</v>
      </c>
      <c r="E156" s="77"/>
      <c r="F156" s="82"/>
      <c r="G156" s="66"/>
      <c r="H156" s="66"/>
      <c r="I156" s="71"/>
      <c r="J156" s="83"/>
      <c r="K156" s="208"/>
      <c r="L156" s="68"/>
      <c r="M156" s="69"/>
      <c r="N156" s="68"/>
      <c r="O156" s="68"/>
      <c r="P156" s="216">
        <f>P157</f>
        <v>1181720.43</v>
      </c>
      <c r="Q156" s="498"/>
      <c r="R156" s="69"/>
      <c r="S156" s="215">
        <f t="shared" si="62"/>
        <v>38052799.799999997</v>
      </c>
      <c r="T156" s="216">
        <f t="shared" si="62"/>
        <v>39234520.230000004</v>
      </c>
      <c r="U156" s="217">
        <f t="shared" si="61"/>
        <v>0</v>
      </c>
      <c r="V156" s="217">
        <f t="shared" si="61"/>
        <v>1707205</v>
      </c>
      <c r="W156" s="69">
        <f t="shared" si="61"/>
        <v>533471</v>
      </c>
      <c r="X156" s="215">
        <f t="shared" si="61"/>
        <v>0</v>
      </c>
      <c r="Y156" s="216">
        <f t="shared" si="61"/>
        <v>0</v>
      </c>
      <c r="Z156" s="217">
        <f t="shared" si="61"/>
        <v>0</v>
      </c>
      <c r="AA156" s="216">
        <f t="shared" si="61"/>
        <v>0</v>
      </c>
      <c r="AB156" s="217">
        <f t="shared" si="61"/>
        <v>0</v>
      </c>
    </row>
    <row r="157" spans="1:28" ht="38.25" customHeight="1" x14ac:dyDescent="0.2">
      <c r="A157" s="212" t="s">
        <v>312</v>
      </c>
      <c r="B157" s="59" t="s">
        <v>108</v>
      </c>
      <c r="C157" s="78" t="s">
        <v>95</v>
      </c>
      <c r="D157" s="79" t="s">
        <v>76</v>
      </c>
      <c r="E157" s="77" t="s">
        <v>1</v>
      </c>
      <c r="F157" s="82" t="s">
        <v>135</v>
      </c>
      <c r="G157" s="66" t="s">
        <v>135</v>
      </c>
      <c r="H157" s="66" t="s">
        <v>135</v>
      </c>
      <c r="I157" s="71" t="s">
        <v>136</v>
      </c>
      <c r="J157" s="67" t="s">
        <v>135</v>
      </c>
      <c r="K157" s="208"/>
      <c r="L157" s="68"/>
      <c r="M157" s="69"/>
      <c r="N157" s="68"/>
      <c r="O157" s="68"/>
      <c r="P157" s="216">
        <f>P161+P158+P164</f>
        <v>1181720.43</v>
      </c>
      <c r="Q157" s="216">
        <f t="shared" ref="Q157:AB157" si="63">Q161+Q158+Q164</f>
        <v>1742878</v>
      </c>
      <c r="R157" s="216">
        <f t="shared" si="63"/>
        <v>516696</v>
      </c>
      <c r="S157" s="216">
        <f t="shared" si="63"/>
        <v>38052799.799999997</v>
      </c>
      <c r="T157" s="216">
        <f t="shared" si="63"/>
        <v>39234520.230000004</v>
      </c>
      <c r="U157" s="217">
        <f t="shared" si="63"/>
        <v>0</v>
      </c>
      <c r="V157" s="216">
        <f t="shared" si="63"/>
        <v>1707205</v>
      </c>
      <c r="W157" s="216">
        <f t="shared" si="63"/>
        <v>533471</v>
      </c>
      <c r="X157" s="215">
        <f t="shared" si="63"/>
        <v>0</v>
      </c>
      <c r="Y157" s="216">
        <f t="shared" si="63"/>
        <v>0</v>
      </c>
      <c r="Z157" s="217">
        <f t="shared" si="63"/>
        <v>0</v>
      </c>
      <c r="AA157" s="216">
        <f t="shared" si="63"/>
        <v>0</v>
      </c>
      <c r="AB157" s="216">
        <f t="shared" si="63"/>
        <v>0</v>
      </c>
    </row>
    <row r="158" spans="1:28" ht="38.25" customHeight="1" x14ac:dyDescent="0.2">
      <c r="A158" s="212" t="s">
        <v>129</v>
      </c>
      <c r="B158" s="58" t="s">
        <v>108</v>
      </c>
      <c r="C158" s="78" t="s">
        <v>95</v>
      </c>
      <c r="D158" s="79" t="s">
        <v>76</v>
      </c>
      <c r="E158" s="103" t="s">
        <v>1</v>
      </c>
      <c r="F158" s="66" t="s">
        <v>135</v>
      </c>
      <c r="G158" s="66" t="s">
        <v>135</v>
      </c>
      <c r="H158" s="66" t="s">
        <v>135</v>
      </c>
      <c r="I158" s="66" t="s">
        <v>0</v>
      </c>
      <c r="J158" s="67" t="s">
        <v>135</v>
      </c>
      <c r="K158" s="309"/>
      <c r="L158" s="68">
        <f t="shared" ref="L158:AB159" si="64">L159</f>
        <v>1629100</v>
      </c>
      <c r="M158" s="69">
        <f t="shared" si="64"/>
        <v>0</v>
      </c>
      <c r="N158" s="216">
        <f t="shared" si="64"/>
        <v>1119511</v>
      </c>
      <c r="O158" s="216">
        <f t="shared" si="64"/>
        <v>502789</v>
      </c>
      <c r="P158" s="216">
        <f t="shared" si="64"/>
        <v>0</v>
      </c>
      <c r="Q158" s="215">
        <f t="shared" si="64"/>
        <v>1742878</v>
      </c>
      <c r="R158" s="216">
        <f t="shared" si="64"/>
        <v>516696</v>
      </c>
      <c r="S158" s="216">
        <f t="shared" si="64"/>
        <v>886133</v>
      </c>
      <c r="T158" s="216">
        <f t="shared" si="64"/>
        <v>886133</v>
      </c>
      <c r="U158" s="217">
        <f t="shared" si="64"/>
        <v>0</v>
      </c>
      <c r="V158" s="216">
        <f t="shared" si="64"/>
        <v>1707205</v>
      </c>
      <c r="W158" s="215">
        <f t="shared" si="64"/>
        <v>533471</v>
      </c>
      <c r="X158" s="215">
        <f t="shared" si="64"/>
        <v>0</v>
      </c>
      <c r="Y158" s="216">
        <f t="shared" si="64"/>
        <v>0</v>
      </c>
      <c r="Z158" s="217">
        <f t="shared" si="64"/>
        <v>0</v>
      </c>
      <c r="AA158" s="216">
        <f t="shared" si="64"/>
        <v>0</v>
      </c>
      <c r="AB158" s="216">
        <f t="shared" si="64"/>
        <v>0</v>
      </c>
    </row>
    <row r="159" spans="1:28" ht="38.25" customHeight="1" x14ac:dyDescent="0.2">
      <c r="A159" s="212" t="s">
        <v>21</v>
      </c>
      <c r="B159" s="58" t="s">
        <v>108</v>
      </c>
      <c r="C159" s="78" t="s">
        <v>95</v>
      </c>
      <c r="D159" s="79" t="s">
        <v>76</v>
      </c>
      <c r="E159" s="103" t="s">
        <v>1</v>
      </c>
      <c r="F159" s="70" t="s">
        <v>135</v>
      </c>
      <c r="G159" s="66" t="s">
        <v>135</v>
      </c>
      <c r="H159" s="66" t="s">
        <v>135</v>
      </c>
      <c r="I159" s="71" t="s">
        <v>0</v>
      </c>
      <c r="J159" s="67" t="s">
        <v>135</v>
      </c>
      <c r="K159" s="372">
        <v>600</v>
      </c>
      <c r="L159" s="68">
        <f t="shared" si="64"/>
        <v>1629100</v>
      </c>
      <c r="M159" s="69">
        <f t="shared" si="64"/>
        <v>0</v>
      </c>
      <c r="N159" s="216">
        <f t="shared" si="64"/>
        <v>1119511</v>
      </c>
      <c r="O159" s="216">
        <f t="shared" si="64"/>
        <v>502789</v>
      </c>
      <c r="P159" s="216">
        <f t="shared" si="64"/>
        <v>0</v>
      </c>
      <c r="Q159" s="215">
        <f t="shared" si="64"/>
        <v>1742878</v>
      </c>
      <c r="R159" s="216">
        <f t="shared" si="64"/>
        <v>516696</v>
      </c>
      <c r="S159" s="216">
        <f t="shared" si="64"/>
        <v>886133</v>
      </c>
      <c r="T159" s="216">
        <f t="shared" si="64"/>
        <v>886133</v>
      </c>
      <c r="U159" s="217">
        <f t="shared" si="64"/>
        <v>0</v>
      </c>
      <c r="V159" s="216">
        <f t="shared" si="64"/>
        <v>1707205</v>
      </c>
      <c r="W159" s="215">
        <f t="shared" si="64"/>
        <v>533471</v>
      </c>
      <c r="X159" s="215">
        <f t="shared" si="64"/>
        <v>0</v>
      </c>
      <c r="Y159" s="216">
        <f t="shared" si="64"/>
        <v>0</v>
      </c>
      <c r="Z159" s="217">
        <f t="shared" si="64"/>
        <v>0</v>
      </c>
      <c r="AA159" s="216">
        <f t="shared" si="64"/>
        <v>0</v>
      </c>
      <c r="AB159" s="216">
        <f t="shared" si="64"/>
        <v>0</v>
      </c>
    </row>
    <row r="160" spans="1:28" ht="38.25" customHeight="1" x14ac:dyDescent="0.2">
      <c r="A160" s="212" t="s">
        <v>22</v>
      </c>
      <c r="B160" s="58" t="s">
        <v>108</v>
      </c>
      <c r="C160" s="78" t="s">
        <v>95</v>
      </c>
      <c r="D160" s="79" t="s">
        <v>76</v>
      </c>
      <c r="E160" s="103" t="s">
        <v>1</v>
      </c>
      <c r="F160" s="70" t="s">
        <v>135</v>
      </c>
      <c r="G160" s="66" t="s">
        <v>135</v>
      </c>
      <c r="H160" s="66" t="s">
        <v>135</v>
      </c>
      <c r="I160" s="71" t="s">
        <v>0</v>
      </c>
      <c r="J160" s="67" t="s">
        <v>135</v>
      </c>
      <c r="K160" s="372" t="s">
        <v>23</v>
      </c>
      <c r="L160" s="68">
        <f>635000+20000+954100+20000</f>
        <v>1629100</v>
      </c>
      <c r="M160" s="69">
        <v>0</v>
      </c>
      <c r="N160" s="216">
        <f>954100+165411</f>
        <v>1119511</v>
      </c>
      <c r="O160" s="216">
        <v>502789</v>
      </c>
      <c r="P160" s="216">
        <v>0</v>
      </c>
      <c r="Q160" s="215">
        <f>1609100+133778</f>
        <v>1742878</v>
      </c>
      <c r="R160" s="216">
        <v>516696</v>
      </c>
      <c r="S160" s="216">
        <f>171000+27133+688000</f>
        <v>886133</v>
      </c>
      <c r="T160" s="216">
        <f>S160+P160</f>
        <v>886133</v>
      </c>
      <c r="U160" s="217">
        <v>0</v>
      </c>
      <c r="V160" s="216">
        <f>1609100+98105</f>
        <v>1707205</v>
      </c>
      <c r="W160" s="215">
        <f>533471</f>
        <v>533471</v>
      </c>
      <c r="X160" s="215">
        <v>0</v>
      </c>
      <c r="Y160" s="216">
        <v>0</v>
      </c>
      <c r="Z160" s="217">
        <v>0</v>
      </c>
      <c r="AA160" s="216">
        <v>0</v>
      </c>
      <c r="AB160" s="216">
        <v>0</v>
      </c>
    </row>
    <row r="161" spans="1:28" ht="16.5" customHeight="1" x14ac:dyDescent="0.2">
      <c r="A161" s="207" t="s">
        <v>423</v>
      </c>
      <c r="B161" s="59" t="s">
        <v>108</v>
      </c>
      <c r="C161" s="78" t="s">
        <v>95</v>
      </c>
      <c r="D161" s="79" t="s">
        <v>76</v>
      </c>
      <c r="E161" s="77" t="s">
        <v>1</v>
      </c>
      <c r="F161" s="82" t="s">
        <v>135</v>
      </c>
      <c r="G161" s="66" t="s">
        <v>135</v>
      </c>
      <c r="H161" s="66" t="s">
        <v>135</v>
      </c>
      <c r="I161" s="71" t="s">
        <v>424</v>
      </c>
      <c r="J161" s="67" t="s">
        <v>135</v>
      </c>
      <c r="K161" s="208"/>
      <c r="L161" s="68"/>
      <c r="M161" s="69"/>
      <c r="N161" s="68"/>
      <c r="O161" s="68"/>
      <c r="P161" s="216">
        <f t="shared" si="61"/>
        <v>1181720.43</v>
      </c>
      <c r="Q161" s="498">
        <f t="shared" si="61"/>
        <v>0</v>
      </c>
      <c r="R161" s="69">
        <f t="shared" si="61"/>
        <v>0</v>
      </c>
      <c r="S161" s="215">
        <f t="shared" si="61"/>
        <v>20284946.370000001</v>
      </c>
      <c r="T161" s="216">
        <f t="shared" si="61"/>
        <v>21466666.800000001</v>
      </c>
      <c r="U161" s="217">
        <f t="shared" si="61"/>
        <v>0</v>
      </c>
      <c r="V161" s="498">
        <f t="shared" si="61"/>
        <v>0</v>
      </c>
      <c r="W161" s="215"/>
      <c r="X161" s="215">
        <f t="shared" si="61"/>
        <v>0</v>
      </c>
      <c r="Y161" s="216">
        <f t="shared" si="61"/>
        <v>0</v>
      </c>
      <c r="Z161" s="217">
        <f t="shared" si="61"/>
        <v>0</v>
      </c>
      <c r="AA161" s="216">
        <f t="shared" si="61"/>
        <v>0</v>
      </c>
      <c r="AB161" s="217">
        <f t="shared" si="61"/>
        <v>0</v>
      </c>
    </row>
    <row r="162" spans="1:28" ht="31.5" customHeight="1" x14ac:dyDescent="0.2">
      <c r="A162" s="212" t="s">
        <v>21</v>
      </c>
      <c r="B162" s="59" t="s">
        <v>108</v>
      </c>
      <c r="C162" s="78" t="s">
        <v>95</v>
      </c>
      <c r="D162" s="79" t="s">
        <v>76</v>
      </c>
      <c r="E162" s="77" t="s">
        <v>1</v>
      </c>
      <c r="F162" s="82" t="s">
        <v>135</v>
      </c>
      <c r="G162" s="66" t="s">
        <v>135</v>
      </c>
      <c r="H162" s="66" t="s">
        <v>135</v>
      </c>
      <c r="I162" s="71" t="s">
        <v>424</v>
      </c>
      <c r="J162" s="67" t="s">
        <v>135</v>
      </c>
      <c r="K162" s="208" t="s">
        <v>149</v>
      </c>
      <c r="L162" s="68"/>
      <c r="M162" s="69"/>
      <c r="N162" s="68"/>
      <c r="O162" s="68"/>
      <c r="P162" s="216">
        <f t="shared" si="61"/>
        <v>1181720.43</v>
      </c>
      <c r="Q162" s="498">
        <f t="shared" si="61"/>
        <v>0</v>
      </c>
      <c r="R162" s="69">
        <f t="shared" si="61"/>
        <v>0</v>
      </c>
      <c r="S162" s="215">
        <f t="shared" si="61"/>
        <v>20284946.370000001</v>
      </c>
      <c r="T162" s="216">
        <f t="shared" si="61"/>
        <v>21466666.800000001</v>
      </c>
      <c r="U162" s="217">
        <f t="shared" si="61"/>
        <v>0</v>
      </c>
      <c r="V162" s="498">
        <f t="shared" si="61"/>
        <v>0</v>
      </c>
      <c r="W162" s="215"/>
      <c r="X162" s="215">
        <f t="shared" si="61"/>
        <v>0</v>
      </c>
      <c r="Y162" s="216">
        <f t="shared" si="61"/>
        <v>0</v>
      </c>
      <c r="Z162" s="217">
        <f t="shared" si="61"/>
        <v>0</v>
      </c>
      <c r="AA162" s="216">
        <f t="shared" si="61"/>
        <v>0</v>
      </c>
      <c r="AB162" s="216">
        <f t="shared" si="61"/>
        <v>0</v>
      </c>
    </row>
    <row r="163" spans="1:28" ht="42.75" customHeight="1" x14ac:dyDescent="0.2">
      <c r="A163" s="212" t="s">
        <v>22</v>
      </c>
      <c r="B163" s="59" t="s">
        <v>108</v>
      </c>
      <c r="C163" s="78" t="s">
        <v>95</v>
      </c>
      <c r="D163" s="79" t="s">
        <v>76</v>
      </c>
      <c r="E163" s="77" t="s">
        <v>1</v>
      </c>
      <c r="F163" s="82" t="s">
        <v>135</v>
      </c>
      <c r="G163" s="66" t="s">
        <v>135</v>
      </c>
      <c r="H163" s="66" t="s">
        <v>135</v>
      </c>
      <c r="I163" s="71" t="s">
        <v>424</v>
      </c>
      <c r="J163" s="67" t="s">
        <v>135</v>
      </c>
      <c r="K163" s="208" t="s">
        <v>23</v>
      </c>
      <c r="L163" s="68"/>
      <c r="M163" s="69"/>
      <c r="N163" s="68"/>
      <c r="O163" s="68"/>
      <c r="P163" s="216">
        <v>1181720.43</v>
      </c>
      <c r="Q163" s="498">
        <v>0</v>
      </c>
      <c r="R163" s="69">
        <v>0</v>
      </c>
      <c r="S163" s="215">
        <f>-1181720.43+1029000+20437666.8</f>
        <v>20284946.370000001</v>
      </c>
      <c r="T163" s="216">
        <f>S163+P163</f>
        <v>21466666.800000001</v>
      </c>
      <c r="U163" s="217">
        <v>0</v>
      </c>
      <c r="V163" s="498">
        <v>0</v>
      </c>
      <c r="W163" s="215"/>
      <c r="X163" s="215">
        <v>0</v>
      </c>
      <c r="Y163" s="216">
        <v>0</v>
      </c>
      <c r="Z163" s="217">
        <v>0</v>
      </c>
      <c r="AA163" s="216">
        <v>0</v>
      </c>
      <c r="AB163" s="216">
        <v>0</v>
      </c>
    </row>
    <row r="164" spans="1:28" ht="90.75" customHeight="1" x14ac:dyDescent="0.2">
      <c r="A164" s="207" t="s">
        <v>452</v>
      </c>
      <c r="B164" s="59" t="s">
        <v>108</v>
      </c>
      <c r="C164" s="78" t="s">
        <v>95</v>
      </c>
      <c r="D164" s="79" t="s">
        <v>76</v>
      </c>
      <c r="E164" s="77" t="s">
        <v>1</v>
      </c>
      <c r="F164" s="82" t="s">
        <v>135</v>
      </c>
      <c r="G164" s="66" t="s">
        <v>135</v>
      </c>
      <c r="H164" s="66" t="s">
        <v>135</v>
      </c>
      <c r="I164" s="71" t="s">
        <v>449</v>
      </c>
      <c r="J164" s="67" t="s">
        <v>135</v>
      </c>
      <c r="K164" s="208"/>
      <c r="L164" s="68"/>
      <c r="M164" s="69"/>
      <c r="N164" s="68"/>
      <c r="O164" s="68"/>
      <c r="P164" s="216">
        <f t="shared" si="61"/>
        <v>0</v>
      </c>
      <c r="Q164" s="498">
        <f t="shared" si="61"/>
        <v>0</v>
      </c>
      <c r="R164" s="69">
        <f t="shared" si="61"/>
        <v>0</v>
      </c>
      <c r="S164" s="215">
        <f t="shared" si="61"/>
        <v>16881720.43</v>
      </c>
      <c r="T164" s="216">
        <f t="shared" si="61"/>
        <v>16881720.43</v>
      </c>
      <c r="U164" s="217">
        <f t="shared" si="61"/>
        <v>0</v>
      </c>
      <c r="V164" s="498">
        <f t="shared" si="61"/>
        <v>0</v>
      </c>
      <c r="W164" s="215"/>
      <c r="X164" s="215">
        <f t="shared" si="61"/>
        <v>0</v>
      </c>
      <c r="Y164" s="216">
        <f t="shared" si="61"/>
        <v>0</v>
      </c>
      <c r="Z164" s="217">
        <f t="shared" si="61"/>
        <v>0</v>
      </c>
      <c r="AA164" s="216">
        <f t="shared" si="61"/>
        <v>0</v>
      </c>
      <c r="AB164" s="217">
        <f t="shared" si="61"/>
        <v>0</v>
      </c>
    </row>
    <row r="165" spans="1:28" ht="42.75" customHeight="1" x14ac:dyDescent="0.2">
      <c r="A165" s="212" t="s">
        <v>21</v>
      </c>
      <c r="B165" s="59" t="s">
        <v>108</v>
      </c>
      <c r="C165" s="78" t="s">
        <v>95</v>
      </c>
      <c r="D165" s="79" t="s">
        <v>76</v>
      </c>
      <c r="E165" s="77" t="s">
        <v>1</v>
      </c>
      <c r="F165" s="82" t="s">
        <v>135</v>
      </c>
      <c r="G165" s="66" t="s">
        <v>135</v>
      </c>
      <c r="H165" s="66" t="s">
        <v>135</v>
      </c>
      <c r="I165" s="71" t="s">
        <v>449</v>
      </c>
      <c r="J165" s="67" t="s">
        <v>135</v>
      </c>
      <c r="K165" s="208" t="s">
        <v>149</v>
      </c>
      <c r="L165" s="68"/>
      <c r="M165" s="69"/>
      <c r="N165" s="68"/>
      <c r="O165" s="68"/>
      <c r="P165" s="216">
        <f t="shared" si="61"/>
        <v>0</v>
      </c>
      <c r="Q165" s="498">
        <f t="shared" si="61"/>
        <v>0</v>
      </c>
      <c r="R165" s="69">
        <f t="shared" si="61"/>
        <v>0</v>
      </c>
      <c r="S165" s="215">
        <f t="shared" si="61"/>
        <v>16881720.43</v>
      </c>
      <c r="T165" s="216">
        <f t="shared" si="61"/>
        <v>16881720.43</v>
      </c>
      <c r="U165" s="217">
        <f t="shared" si="61"/>
        <v>0</v>
      </c>
      <c r="V165" s="498">
        <f t="shared" si="61"/>
        <v>0</v>
      </c>
      <c r="W165" s="215"/>
      <c r="X165" s="215">
        <f t="shared" si="61"/>
        <v>0</v>
      </c>
      <c r="Y165" s="216">
        <f t="shared" si="61"/>
        <v>0</v>
      </c>
      <c r="Z165" s="217">
        <f t="shared" si="61"/>
        <v>0</v>
      </c>
      <c r="AA165" s="216">
        <f t="shared" si="61"/>
        <v>0</v>
      </c>
      <c r="AB165" s="216">
        <f t="shared" si="61"/>
        <v>0</v>
      </c>
    </row>
    <row r="166" spans="1:28" ht="21.75" customHeight="1" x14ac:dyDescent="0.2">
      <c r="A166" s="212" t="s">
        <v>22</v>
      </c>
      <c r="B166" s="59" t="s">
        <v>108</v>
      </c>
      <c r="C166" s="78" t="s">
        <v>95</v>
      </c>
      <c r="D166" s="79" t="s">
        <v>76</v>
      </c>
      <c r="E166" s="77" t="s">
        <v>1</v>
      </c>
      <c r="F166" s="82" t="s">
        <v>135</v>
      </c>
      <c r="G166" s="66" t="s">
        <v>135</v>
      </c>
      <c r="H166" s="66" t="s">
        <v>135</v>
      </c>
      <c r="I166" s="71" t="s">
        <v>449</v>
      </c>
      <c r="J166" s="67" t="s">
        <v>135</v>
      </c>
      <c r="K166" s="208" t="s">
        <v>23</v>
      </c>
      <c r="L166" s="68"/>
      <c r="M166" s="69"/>
      <c r="N166" s="68"/>
      <c r="O166" s="68"/>
      <c r="P166" s="216">
        <v>0</v>
      </c>
      <c r="Q166" s="498">
        <v>0</v>
      </c>
      <c r="R166" s="69">
        <v>0</v>
      </c>
      <c r="S166" s="215">
        <f>15700000+1181720.43</f>
        <v>16881720.43</v>
      </c>
      <c r="T166" s="216">
        <f>S166</f>
        <v>16881720.43</v>
      </c>
      <c r="U166" s="217">
        <v>0</v>
      </c>
      <c r="V166" s="498">
        <v>0</v>
      </c>
      <c r="W166" s="215"/>
      <c r="X166" s="215">
        <v>0</v>
      </c>
      <c r="Y166" s="216">
        <v>0</v>
      </c>
      <c r="Z166" s="217">
        <v>0</v>
      </c>
      <c r="AA166" s="216">
        <v>0</v>
      </c>
      <c r="AB166" s="216">
        <v>0</v>
      </c>
    </row>
    <row r="167" spans="1:28" ht="9.75" customHeight="1" x14ac:dyDescent="0.2">
      <c r="A167" s="362"/>
      <c r="B167" s="60"/>
      <c r="C167" s="77"/>
      <c r="D167" s="77"/>
      <c r="E167" s="77"/>
      <c r="F167" s="82"/>
      <c r="G167" s="66"/>
      <c r="H167" s="66"/>
      <c r="I167" s="71"/>
      <c r="J167" s="67"/>
      <c r="K167" s="208"/>
      <c r="L167" s="68"/>
      <c r="M167" s="69"/>
      <c r="N167" s="216"/>
      <c r="O167" s="215"/>
      <c r="P167" s="216"/>
      <c r="Q167" s="68"/>
      <c r="R167" s="215"/>
      <c r="S167" s="215"/>
      <c r="T167" s="216"/>
      <c r="U167" s="217"/>
      <c r="V167" s="216"/>
      <c r="W167" s="215"/>
      <c r="X167" s="215"/>
      <c r="Y167" s="216"/>
      <c r="Z167" s="217"/>
      <c r="AA167" s="216"/>
      <c r="AB167" s="216"/>
    </row>
    <row r="168" spans="1:28" ht="2.25" customHeight="1" x14ac:dyDescent="0.2">
      <c r="A168" s="362"/>
      <c r="B168" s="60"/>
      <c r="C168" s="84"/>
      <c r="D168" s="84"/>
      <c r="E168" s="84"/>
      <c r="F168" s="87"/>
      <c r="G168" s="88"/>
      <c r="H168" s="88"/>
      <c r="I168" s="89"/>
      <c r="J168" s="90"/>
      <c r="K168" s="282"/>
      <c r="L168" s="91"/>
      <c r="M168" s="92"/>
      <c r="N168" s="327"/>
      <c r="O168" s="327"/>
      <c r="P168" s="327"/>
      <c r="Q168" s="91"/>
      <c r="R168" s="327"/>
      <c r="S168" s="326"/>
      <c r="T168" s="327"/>
      <c r="U168" s="328"/>
      <c r="V168" s="327"/>
      <c r="W168" s="326"/>
      <c r="X168" s="326"/>
      <c r="Y168" s="327"/>
      <c r="Z168" s="328"/>
      <c r="AA168" s="327"/>
      <c r="AB168" s="327"/>
    </row>
    <row r="169" spans="1:28" s="100" customFormat="1" ht="25.5" x14ac:dyDescent="0.2">
      <c r="A169" s="504" t="s">
        <v>320</v>
      </c>
      <c r="B169" s="444" t="s">
        <v>107</v>
      </c>
      <c r="C169" s="93"/>
      <c r="D169" s="96"/>
      <c r="E169" s="95"/>
      <c r="F169" s="96"/>
      <c r="G169" s="97"/>
      <c r="H169" s="97"/>
      <c r="I169" s="96"/>
      <c r="J169" s="94"/>
      <c r="K169" s="503"/>
      <c r="L169" s="98" t="e">
        <f>L170+#REF!+#REF!+L185</f>
        <v>#REF!</v>
      </c>
      <c r="M169" s="99" t="e">
        <f>M170+#REF!+#REF!+M185</f>
        <v>#REF!</v>
      </c>
      <c r="N169" s="426" t="e">
        <f t="shared" ref="N169:AB169" si="65">N170+N185+N192</f>
        <v>#REF!</v>
      </c>
      <c r="O169" s="426" t="e">
        <f t="shared" si="65"/>
        <v>#REF!</v>
      </c>
      <c r="P169" s="426">
        <f t="shared" si="65"/>
        <v>17398750.080000002</v>
      </c>
      <c r="Q169" s="98">
        <f t="shared" si="65"/>
        <v>16721022.190000001</v>
      </c>
      <c r="R169" s="426">
        <f t="shared" si="65"/>
        <v>0</v>
      </c>
      <c r="S169" s="472">
        <f t="shared" si="65"/>
        <v>0</v>
      </c>
      <c r="T169" s="426">
        <f t="shared" si="65"/>
        <v>17398750.080000002</v>
      </c>
      <c r="U169" s="480">
        <f t="shared" si="65"/>
        <v>16721022.190000001</v>
      </c>
      <c r="V169" s="426">
        <f t="shared" si="65"/>
        <v>16721022.190000001</v>
      </c>
      <c r="W169" s="472">
        <f t="shared" si="65"/>
        <v>0</v>
      </c>
      <c r="X169" s="472">
        <f t="shared" si="65"/>
        <v>0</v>
      </c>
      <c r="Y169" s="426">
        <f t="shared" si="65"/>
        <v>16721022.190000001</v>
      </c>
      <c r="Z169" s="480">
        <f t="shared" si="65"/>
        <v>16721022.190000001</v>
      </c>
      <c r="AA169" s="426">
        <f t="shared" si="65"/>
        <v>0</v>
      </c>
      <c r="AB169" s="426">
        <f t="shared" si="65"/>
        <v>16721022.190000001</v>
      </c>
    </row>
    <row r="170" spans="1:28" x14ac:dyDescent="0.2">
      <c r="A170" s="400" t="s">
        <v>84</v>
      </c>
      <c r="B170" s="58" t="s">
        <v>107</v>
      </c>
      <c r="C170" s="78" t="s">
        <v>69</v>
      </c>
      <c r="D170" s="79"/>
      <c r="E170" s="77"/>
      <c r="F170" s="79"/>
      <c r="G170" s="66"/>
      <c r="H170" s="66"/>
      <c r="I170" s="79"/>
      <c r="J170" s="80"/>
      <c r="K170" s="291"/>
      <c r="L170" s="101" t="e">
        <f>L171+L180+#REF!</f>
        <v>#REF!</v>
      </c>
      <c r="M170" s="102" t="e">
        <f>M171+M180+#REF!</f>
        <v>#REF!</v>
      </c>
      <c r="N170" s="248" t="e">
        <f>N171+N180+#REF!</f>
        <v>#REF!</v>
      </c>
      <c r="O170" s="248" t="e">
        <f>O171+O180+#REF!</f>
        <v>#REF!</v>
      </c>
      <c r="P170" s="248">
        <f>P171+P180</f>
        <v>17067862.190000001</v>
      </c>
      <c r="Q170" s="248">
        <f t="shared" ref="Q170:AB170" si="66">Q171+Q180</f>
        <v>16521022.190000001</v>
      </c>
      <c r="R170" s="248">
        <f t="shared" si="66"/>
        <v>0</v>
      </c>
      <c r="S170" s="248">
        <f t="shared" si="66"/>
        <v>0</v>
      </c>
      <c r="T170" s="248">
        <f t="shared" si="66"/>
        <v>17067862.190000001</v>
      </c>
      <c r="U170" s="249">
        <f t="shared" si="66"/>
        <v>16521022.190000001</v>
      </c>
      <c r="V170" s="248">
        <f t="shared" si="66"/>
        <v>16521022.190000001</v>
      </c>
      <c r="W170" s="248">
        <f t="shared" si="66"/>
        <v>0</v>
      </c>
      <c r="X170" s="473">
        <f t="shared" si="66"/>
        <v>0</v>
      </c>
      <c r="Y170" s="248">
        <f t="shared" si="66"/>
        <v>16521022.190000001</v>
      </c>
      <c r="Z170" s="249">
        <f t="shared" si="66"/>
        <v>16521022.190000001</v>
      </c>
      <c r="AA170" s="248">
        <f t="shared" si="66"/>
        <v>0</v>
      </c>
      <c r="AB170" s="248">
        <f t="shared" si="66"/>
        <v>16521022.190000001</v>
      </c>
    </row>
    <row r="171" spans="1:28" ht="28.5" customHeight="1" x14ac:dyDescent="0.2">
      <c r="A171" s="207" t="s">
        <v>104</v>
      </c>
      <c r="B171" s="77" t="s">
        <v>107</v>
      </c>
      <c r="C171" s="78" t="s">
        <v>69</v>
      </c>
      <c r="D171" s="79" t="s">
        <v>70</v>
      </c>
      <c r="E171" s="103"/>
      <c r="F171" s="66"/>
      <c r="G171" s="66"/>
      <c r="H171" s="66"/>
      <c r="I171" s="66"/>
      <c r="J171" s="67"/>
      <c r="K171" s="309"/>
      <c r="L171" s="68" t="e">
        <f t="shared" ref="L171:AB171" si="67">L172</f>
        <v>#REF!</v>
      </c>
      <c r="M171" s="69" t="e">
        <f t="shared" si="67"/>
        <v>#REF!</v>
      </c>
      <c r="N171" s="216">
        <f t="shared" si="67"/>
        <v>16967862.190000001</v>
      </c>
      <c r="O171" s="216">
        <f t="shared" si="67"/>
        <v>0</v>
      </c>
      <c r="P171" s="216">
        <f t="shared" si="67"/>
        <v>16967862.190000001</v>
      </c>
      <c r="Q171" s="68">
        <f t="shared" si="67"/>
        <v>16421022.190000001</v>
      </c>
      <c r="R171" s="216">
        <f t="shared" si="67"/>
        <v>0</v>
      </c>
      <c r="S171" s="216">
        <f t="shared" si="67"/>
        <v>0</v>
      </c>
      <c r="T171" s="216">
        <f t="shared" si="67"/>
        <v>16967862.190000001</v>
      </c>
      <c r="U171" s="217">
        <f t="shared" si="67"/>
        <v>16421022.190000001</v>
      </c>
      <c r="V171" s="216">
        <f t="shared" si="67"/>
        <v>16421022.190000001</v>
      </c>
      <c r="W171" s="215">
        <f t="shared" si="67"/>
        <v>0</v>
      </c>
      <c r="X171" s="215">
        <f t="shared" si="67"/>
        <v>0</v>
      </c>
      <c r="Y171" s="216">
        <f t="shared" si="67"/>
        <v>16421022.190000001</v>
      </c>
      <c r="Z171" s="217">
        <f t="shared" si="67"/>
        <v>16421022.190000001</v>
      </c>
      <c r="AA171" s="216">
        <f t="shared" si="67"/>
        <v>0</v>
      </c>
      <c r="AB171" s="216">
        <f t="shared" si="67"/>
        <v>16421022.190000001</v>
      </c>
    </row>
    <row r="172" spans="1:28" ht="50.25" customHeight="1" x14ac:dyDescent="0.2">
      <c r="A172" s="212" t="s">
        <v>352</v>
      </c>
      <c r="B172" s="77" t="s">
        <v>107</v>
      </c>
      <c r="C172" s="78" t="s">
        <v>69</v>
      </c>
      <c r="D172" s="79" t="s">
        <v>70</v>
      </c>
      <c r="E172" s="103" t="s">
        <v>102</v>
      </c>
      <c r="F172" s="66" t="s">
        <v>135</v>
      </c>
      <c r="G172" s="66" t="s">
        <v>135</v>
      </c>
      <c r="H172" s="66" t="s">
        <v>135</v>
      </c>
      <c r="I172" s="66" t="s">
        <v>136</v>
      </c>
      <c r="J172" s="67" t="s">
        <v>135</v>
      </c>
      <c r="K172" s="291"/>
      <c r="L172" s="64" t="e">
        <f>#REF!</f>
        <v>#REF!</v>
      </c>
      <c r="M172" s="65" t="e">
        <f>#REF!</f>
        <v>#REF!</v>
      </c>
      <c r="N172" s="224">
        <f t="shared" ref="N172:AB172" si="68">N173</f>
        <v>16967862.190000001</v>
      </c>
      <c r="O172" s="224">
        <f t="shared" si="68"/>
        <v>0</v>
      </c>
      <c r="P172" s="224">
        <f t="shared" si="68"/>
        <v>16967862.190000001</v>
      </c>
      <c r="Q172" s="64">
        <f t="shared" si="68"/>
        <v>16421022.190000001</v>
      </c>
      <c r="R172" s="224">
        <f t="shared" si="68"/>
        <v>0</v>
      </c>
      <c r="S172" s="224">
        <f t="shared" si="68"/>
        <v>0</v>
      </c>
      <c r="T172" s="224">
        <f t="shared" si="68"/>
        <v>16967862.190000001</v>
      </c>
      <c r="U172" s="225">
        <f t="shared" si="68"/>
        <v>16421022.190000001</v>
      </c>
      <c r="V172" s="224">
        <f t="shared" si="68"/>
        <v>16421022.190000001</v>
      </c>
      <c r="W172" s="223">
        <f t="shared" si="68"/>
        <v>0</v>
      </c>
      <c r="X172" s="223">
        <f t="shared" si="68"/>
        <v>0</v>
      </c>
      <c r="Y172" s="224">
        <f t="shared" si="68"/>
        <v>16421022.190000001</v>
      </c>
      <c r="Z172" s="225">
        <f t="shared" si="68"/>
        <v>16421022.190000001</v>
      </c>
      <c r="AA172" s="224">
        <f t="shared" si="68"/>
        <v>0</v>
      </c>
      <c r="AB172" s="224">
        <f t="shared" si="68"/>
        <v>16421022.190000001</v>
      </c>
    </row>
    <row r="173" spans="1:28" ht="25.5" x14ac:dyDescent="0.2">
      <c r="A173" s="213" t="s">
        <v>29</v>
      </c>
      <c r="B173" s="77" t="s">
        <v>107</v>
      </c>
      <c r="C173" s="78" t="s">
        <v>69</v>
      </c>
      <c r="D173" s="79" t="s">
        <v>70</v>
      </c>
      <c r="E173" s="103" t="s">
        <v>102</v>
      </c>
      <c r="F173" s="66" t="s">
        <v>135</v>
      </c>
      <c r="G173" s="66" t="s">
        <v>135</v>
      </c>
      <c r="H173" s="66" t="s">
        <v>135</v>
      </c>
      <c r="I173" s="66" t="s">
        <v>27</v>
      </c>
      <c r="J173" s="67" t="s">
        <v>135</v>
      </c>
      <c r="K173" s="291"/>
      <c r="L173" s="64">
        <f t="shared" ref="L173:O173" si="69">L174+L176</f>
        <v>11946300</v>
      </c>
      <c r="M173" s="65">
        <f t="shared" si="69"/>
        <v>0</v>
      </c>
      <c r="N173" s="224">
        <f t="shared" si="69"/>
        <v>16967862.190000001</v>
      </c>
      <c r="O173" s="224">
        <f t="shared" si="69"/>
        <v>0</v>
      </c>
      <c r="P173" s="224">
        <f>P174+P176+P178</f>
        <v>16967862.190000001</v>
      </c>
      <c r="Q173" s="224">
        <f t="shared" ref="Q173:AB173" si="70">Q174+Q176+Q178</f>
        <v>16421022.190000001</v>
      </c>
      <c r="R173" s="224">
        <f t="shared" si="70"/>
        <v>0</v>
      </c>
      <c r="S173" s="224">
        <f t="shared" si="70"/>
        <v>0</v>
      </c>
      <c r="T173" s="224">
        <f t="shared" si="70"/>
        <v>16967862.190000001</v>
      </c>
      <c r="U173" s="225">
        <f t="shared" si="70"/>
        <v>16421022.190000001</v>
      </c>
      <c r="V173" s="224">
        <f t="shared" si="70"/>
        <v>16421022.190000001</v>
      </c>
      <c r="W173" s="224">
        <f t="shared" si="70"/>
        <v>0</v>
      </c>
      <c r="X173" s="223">
        <f t="shared" si="70"/>
        <v>0</v>
      </c>
      <c r="Y173" s="224">
        <f t="shared" si="70"/>
        <v>16421022.190000001</v>
      </c>
      <c r="Z173" s="225">
        <f t="shared" si="70"/>
        <v>16421022.190000001</v>
      </c>
      <c r="AA173" s="224">
        <f t="shared" si="70"/>
        <v>0</v>
      </c>
      <c r="AB173" s="224">
        <f t="shared" si="70"/>
        <v>16421022.190000001</v>
      </c>
    </row>
    <row r="174" spans="1:28" ht="51" x14ac:dyDescent="0.2">
      <c r="A174" s="212" t="s">
        <v>67</v>
      </c>
      <c r="B174" s="77" t="s">
        <v>107</v>
      </c>
      <c r="C174" s="78" t="s">
        <v>69</v>
      </c>
      <c r="D174" s="79" t="s">
        <v>70</v>
      </c>
      <c r="E174" s="103" t="s">
        <v>102</v>
      </c>
      <c r="F174" s="66" t="s">
        <v>135</v>
      </c>
      <c r="G174" s="66" t="s">
        <v>135</v>
      </c>
      <c r="H174" s="66" t="s">
        <v>135</v>
      </c>
      <c r="I174" s="71" t="s">
        <v>27</v>
      </c>
      <c r="J174" s="67" t="s">
        <v>135</v>
      </c>
      <c r="K174" s="309">
        <v>100</v>
      </c>
      <c r="L174" s="68">
        <f t="shared" ref="L174:AB174" si="71">L175</f>
        <v>11547700</v>
      </c>
      <c r="M174" s="69">
        <f t="shared" si="71"/>
        <v>0</v>
      </c>
      <c r="N174" s="216">
        <f t="shared" si="71"/>
        <v>16032422.190000001</v>
      </c>
      <c r="O174" s="216">
        <f t="shared" si="71"/>
        <v>0</v>
      </c>
      <c r="P174" s="216">
        <f t="shared" si="71"/>
        <v>16032422.190000001</v>
      </c>
      <c r="Q174" s="68">
        <f t="shared" si="71"/>
        <v>16032422.190000001</v>
      </c>
      <c r="R174" s="216">
        <f t="shared" si="71"/>
        <v>0</v>
      </c>
      <c r="S174" s="216">
        <f t="shared" si="71"/>
        <v>0</v>
      </c>
      <c r="T174" s="216">
        <f t="shared" si="71"/>
        <v>16032422.190000001</v>
      </c>
      <c r="U174" s="217">
        <f t="shared" si="71"/>
        <v>16032422.190000001</v>
      </c>
      <c r="V174" s="216">
        <f t="shared" si="71"/>
        <v>16032422.190000001</v>
      </c>
      <c r="W174" s="215">
        <f t="shared" si="71"/>
        <v>0</v>
      </c>
      <c r="X174" s="215">
        <f t="shared" si="71"/>
        <v>0</v>
      </c>
      <c r="Y174" s="216">
        <f t="shared" si="71"/>
        <v>16032422.190000001</v>
      </c>
      <c r="Z174" s="217">
        <f t="shared" si="71"/>
        <v>16032422.190000001</v>
      </c>
      <c r="AA174" s="216">
        <f t="shared" si="71"/>
        <v>0</v>
      </c>
      <c r="AB174" s="216">
        <f t="shared" si="71"/>
        <v>16032422.190000001</v>
      </c>
    </row>
    <row r="175" spans="1:28" ht="25.5" x14ac:dyDescent="0.2">
      <c r="A175" s="212" t="s">
        <v>61</v>
      </c>
      <c r="B175" s="77" t="s">
        <v>107</v>
      </c>
      <c r="C175" s="78" t="s">
        <v>69</v>
      </c>
      <c r="D175" s="79" t="s">
        <v>70</v>
      </c>
      <c r="E175" s="103" t="s">
        <v>102</v>
      </c>
      <c r="F175" s="66" t="s">
        <v>135</v>
      </c>
      <c r="G175" s="66" t="s">
        <v>135</v>
      </c>
      <c r="H175" s="66" t="s">
        <v>135</v>
      </c>
      <c r="I175" s="71" t="s">
        <v>27</v>
      </c>
      <c r="J175" s="67" t="s">
        <v>135</v>
      </c>
      <c r="K175" s="309">
        <v>120</v>
      </c>
      <c r="L175" s="68">
        <v>11547700</v>
      </c>
      <c r="M175" s="69">
        <v>0</v>
      </c>
      <c r="N175" s="216">
        <f>16967862.19-935440</f>
        <v>16032422.190000001</v>
      </c>
      <c r="O175" s="216">
        <v>0</v>
      </c>
      <c r="P175" s="216">
        <f>16967862.19-935440</f>
        <v>16032422.190000001</v>
      </c>
      <c r="Q175" s="68">
        <f>16967862.19-935440</f>
        <v>16032422.190000001</v>
      </c>
      <c r="R175" s="216">
        <v>0</v>
      </c>
      <c r="S175" s="216">
        <v>0</v>
      </c>
      <c r="T175" s="216">
        <f>S175+P175</f>
        <v>16032422.190000001</v>
      </c>
      <c r="U175" s="217">
        <f>16967862.19-935440</f>
        <v>16032422.190000001</v>
      </c>
      <c r="V175" s="216">
        <f>16967862.19-935440</f>
        <v>16032422.190000001</v>
      </c>
      <c r="W175" s="215">
        <v>0</v>
      </c>
      <c r="X175" s="215">
        <v>0</v>
      </c>
      <c r="Y175" s="216">
        <f>16967862.19-935440</f>
        <v>16032422.190000001</v>
      </c>
      <c r="Z175" s="217">
        <f>16967862.19-935440</f>
        <v>16032422.190000001</v>
      </c>
      <c r="AA175" s="216">
        <v>0</v>
      </c>
      <c r="AB175" s="216">
        <f>16967862.19-935440</f>
        <v>16032422.190000001</v>
      </c>
    </row>
    <row r="176" spans="1:28" ht="25.5" x14ac:dyDescent="0.2">
      <c r="A176" s="212" t="s">
        <v>52</v>
      </c>
      <c r="B176" s="77" t="s">
        <v>107</v>
      </c>
      <c r="C176" s="78" t="s">
        <v>69</v>
      </c>
      <c r="D176" s="79" t="s">
        <v>70</v>
      </c>
      <c r="E176" s="103" t="s">
        <v>102</v>
      </c>
      <c r="F176" s="66" t="s">
        <v>135</v>
      </c>
      <c r="G176" s="66" t="s">
        <v>135</v>
      </c>
      <c r="H176" s="66" t="s">
        <v>135</v>
      </c>
      <c r="I176" s="71" t="s">
        <v>27</v>
      </c>
      <c r="J176" s="67" t="s">
        <v>135</v>
      </c>
      <c r="K176" s="309">
        <v>200</v>
      </c>
      <c r="L176" s="68">
        <f t="shared" ref="L176:AB176" si="72">L177</f>
        <v>398600</v>
      </c>
      <c r="M176" s="69">
        <f t="shared" si="72"/>
        <v>0</v>
      </c>
      <c r="N176" s="216">
        <f t="shared" si="72"/>
        <v>935440</v>
      </c>
      <c r="O176" s="216">
        <f t="shared" si="72"/>
        <v>0</v>
      </c>
      <c r="P176" s="216">
        <f t="shared" si="72"/>
        <v>934484.11</v>
      </c>
      <c r="Q176" s="215">
        <f t="shared" si="72"/>
        <v>388600</v>
      </c>
      <c r="R176" s="216">
        <f t="shared" si="72"/>
        <v>0</v>
      </c>
      <c r="S176" s="216">
        <f t="shared" si="72"/>
        <v>0</v>
      </c>
      <c r="T176" s="216">
        <f t="shared" si="72"/>
        <v>934484.11</v>
      </c>
      <c r="U176" s="217">
        <f t="shared" si="72"/>
        <v>388600</v>
      </c>
      <c r="V176" s="216">
        <f t="shared" si="72"/>
        <v>388600</v>
      </c>
      <c r="W176" s="215">
        <f t="shared" si="72"/>
        <v>0</v>
      </c>
      <c r="X176" s="215">
        <f t="shared" si="72"/>
        <v>0</v>
      </c>
      <c r="Y176" s="216">
        <f t="shared" si="72"/>
        <v>388600</v>
      </c>
      <c r="Z176" s="217">
        <f t="shared" si="72"/>
        <v>388600</v>
      </c>
      <c r="AA176" s="216">
        <f t="shared" si="72"/>
        <v>0</v>
      </c>
      <c r="AB176" s="216">
        <f t="shared" si="72"/>
        <v>388600</v>
      </c>
    </row>
    <row r="177" spans="1:28" ht="25.5" x14ac:dyDescent="0.2">
      <c r="A177" s="212" t="s">
        <v>54</v>
      </c>
      <c r="B177" s="77" t="s">
        <v>107</v>
      </c>
      <c r="C177" s="78" t="s">
        <v>69</v>
      </c>
      <c r="D177" s="79" t="s">
        <v>70</v>
      </c>
      <c r="E177" s="103" t="s">
        <v>102</v>
      </c>
      <c r="F177" s="66" t="s">
        <v>135</v>
      </c>
      <c r="G177" s="66" t="s">
        <v>135</v>
      </c>
      <c r="H177" s="66" t="s">
        <v>135</v>
      </c>
      <c r="I177" s="71" t="s">
        <v>27</v>
      </c>
      <c r="J177" s="67" t="s">
        <v>135</v>
      </c>
      <c r="K177" s="309">
        <v>240</v>
      </c>
      <c r="L177" s="68">
        <v>398600</v>
      </c>
      <c r="M177" s="69">
        <v>0</v>
      </c>
      <c r="N177" s="216">
        <v>935440</v>
      </c>
      <c r="O177" s="216">
        <v>0</v>
      </c>
      <c r="P177" s="216">
        <v>934484.11</v>
      </c>
      <c r="Q177" s="215">
        <f>935440-546840</f>
        <v>388600</v>
      </c>
      <c r="R177" s="216">
        <v>0</v>
      </c>
      <c r="S177" s="216">
        <v>0</v>
      </c>
      <c r="T177" s="216">
        <f>S177+P177</f>
        <v>934484.11</v>
      </c>
      <c r="U177" s="217">
        <f>935440-546840</f>
        <v>388600</v>
      </c>
      <c r="V177" s="216">
        <f>935440-546840</f>
        <v>388600</v>
      </c>
      <c r="W177" s="215">
        <v>0</v>
      </c>
      <c r="X177" s="215">
        <v>0</v>
      </c>
      <c r="Y177" s="216">
        <f>935440-546840</f>
        <v>388600</v>
      </c>
      <c r="Z177" s="217">
        <f>935440-546840</f>
        <v>388600</v>
      </c>
      <c r="AA177" s="216">
        <v>0</v>
      </c>
      <c r="AB177" s="216">
        <f>935440-546840</f>
        <v>388600</v>
      </c>
    </row>
    <row r="178" spans="1:28" x14ac:dyDescent="0.2">
      <c r="A178" s="212" t="s">
        <v>62</v>
      </c>
      <c r="B178" s="77" t="s">
        <v>107</v>
      </c>
      <c r="C178" s="78" t="s">
        <v>69</v>
      </c>
      <c r="D178" s="79" t="s">
        <v>70</v>
      </c>
      <c r="E178" s="103" t="s">
        <v>102</v>
      </c>
      <c r="F178" s="66" t="s">
        <v>135</v>
      </c>
      <c r="G178" s="66" t="s">
        <v>135</v>
      </c>
      <c r="H178" s="66" t="s">
        <v>135</v>
      </c>
      <c r="I178" s="71" t="s">
        <v>27</v>
      </c>
      <c r="J178" s="67" t="s">
        <v>135</v>
      </c>
      <c r="K178" s="309" t="s">
        <v>63</v>
      </c>
      <c r="L178" s="68"/>
      <c r="M178" s="69"/>
      <c r="N178" s="216"/>
      <c r="O178" s="216"/>
      <c r="P178" s="216">
        <f>P179</f>
        <v>955.89</v>
      </c>
      <c r="Q178" s="215"/>
      <c r="R178" s="216"/>
      <c r="S178" s="216">
        <f>S179</f>
        <v>0</v>
      </c>
      <c r="T178" s="216">
        <f>T179</f>
        <v>955.89</v>
      </c>
      <c r="U178" s="217">
        <f>U179</f>
        <v>0</v>
      </c>
      <c r="V178" s="215"/>
      <c r="W178" s="216"/>
      <c r="X178" s="215">
        <f>X179</f>
        <v>0</v>
      </c>
      <c r="Y178" s="216">
        <f>Y179</f>
        <v>0</v>
      </c>
      <c r="Z178" s="217">
        <f>Z179</f>
        <v>0</v>
      </c>
      <c r="AA178" s="216">
        <f>AA179</f>
        <v>0</v>
      </c>
      <c r="AB178" s="216">
        <f>AB179</f>
        <v>0</v>
      </c>
    </row>
    <row r="179" spans="1:28" x14ac:dyDescent="0.2">
      <c r="A179" s="212" t="s">
        <v>64</v>
      </c>
      <c r="B179" s="77" t="s">
        <v>107</v>
      </c>
      <c r="C179" s="78" t="s">
        <v>69</v>
      </c>
      <c r="D179" s="79" t="s">
        <v>70</v>
      </c>
      <c r="E179" s="103" t="s">
        <v>102</v>
      </c>
      <c r="F179" s="66" t="s">
        <v>135</v>
      </c>
      <c r="G179" s="66" t="s">
        <v>135</v>
      </c>
      <c r="H179" s="66" t="s">
        <v>135</v>
      </c>
      <c r="I179" s="71" t="s">
        <v>27</v>
      </c>
      <c r="J179" s="67" t="s">
        <v>135</v>
      </c>
      <c r="K179" s="309" t="s">
        <v>65</v>
      </c>
      <c r="L179" s="68"/>
      <c r="M179" s="69"/>
      <c r="N179" s="216"/>
      <c r="O179" s="216"/>
      <c r="P179" s="216">
        <v>955.89</v>
      </c>
      <c r="Q179" s="215"/>
      <c r="R179" s="216"/>
      <c r="S179" s="216">
        <v>0</v>
      </c>
      <c r="T179" s="216">
        <f>P179</f>
        <v>955.89</v>
      </c>
      <c r="U179" s="217">
        <v>0</v>
      </c>
      <c r="V179" s="215"/>
      <c r="W179" s="216"/>
      <c r="X179" s="215">
        <v>0</v>
      </c>
      <c r="Y179" s="216">
        <v>0</v>
      </c>
      <c r="Z179" s="217">
        <v>0</v>
      </c>
      <c r="AA179" s="216">
        <v>0</v>
      </c>
      <c r="AB179" s="216">
        <v>0</v>
      </c>
    </row>
    <row r="180" spans="1:28" x14ac:dyDescent="0.2">
      <c r="A180" s="400" t="s">
        <v>82</v>
      </c>
      <c r="B180" s="77" t="s">
        <v>107</v>
      </c>
      <c r="C180" s="78" t="s">
        <v>69</v>
      </c>
      <c r="D180" s="79" t="s">
        <v>95</v>
      </c>
      <c r="E180" s="77"/>
      <c r="F180" s="79"/>
      <c r="G180" s="66"/>
      <c r="H180" s="66"/>
      <c r="I180" s="79"/>
      <c r="J180" s="80"/>
      <c r="K180" s="291"/>
      <c r="L180" s="101">
        <f t="shared" ref="L180:P183" si="73">L181</f>
        <v>500000</v>
      </c>
      <c r="M180" s="102">
        <f t="shared" si="73"/>
        <v>0</v>
      </c>
      <c r="N180" s="248">
        <f t="shared" si="73"/>
        <v>100000</v>
      </c>
      <c r="O180" s="248">
        <f t="shared" si="73"/>
        <v>0</v>
      </c>
      <c r="P180" s="248">
        <f t="shared" si="73"/>
        <v>100000</v>
      </c>
      <c r="Q180" s="473">
        <f t="shared" ref="Q180:AB183" si="74">Q181</f>
        <v>100000</v>
      </c>
      <c r="R180" s="248">
        <f t="shared" si="74"/>
        <v>0</v>
      </c>
      <c r="S180" s="248">
        <f t="shared" si="74"/>
        <v>0</v>
      </c>
      <c r="T180" s="248">
        <f t="shared" si="74"/>
        <v>100000</v>
      </c>
      <c r="U180" s="249">
        <f t="shared" si="74"/>
        <v>100000</v>
      </c>
      <c r="V180" s="248">
        <f t="shared" si="74"/>
        <v>100000</v>
      </c>
      <c r="W180" s="473">
        <f t="shared" si="74"/>
        <v>0</v>
      </c>
      <c r="X180" s="473">
        <f t="shared" si="74"/>
        <v>0</v>
      </c>
      <c r="Y180" s="248">
        <f t="shared" si="74"/>
        <v>100000</v>
      </c>
      <c r="Z180" s="249">
        <f t="shared" si="74"/>
        <v>100000</v>
      </c>
      <c r="AA180" s="248">
        <f t="shared" si="74"/>
        <v>0</v>
      </c>
      <c r="AB180" s="248">
        <f t="shared" si="74"/>
        <v>100000</v>
      </c>
    </row>
    <row r="181" spans="1:28" ht="25.5" x14ac:dyDescent="0.2">
      <c r="A181" s="212" t="s">
        <v>372</v>
      </c>
      <c r="B181" s="77" t="s">
        <v>107</v>
      </c>
      <c r="C181" s="78" t="s">
        <v>69</v>
      </c>
      <c r="D181" s="79" t="s">
        <v>95</v>
      </c>
      <c r="E181" s="104" t="s">
        <v>6</v>
      </c>
      <c r="F181" s="81" t="s">
        <v>135</v>
      </c>
      <c r="G181" s="66" t="s">
        <v>135</v>
      </c>
      <c r="H181" s="66" t="s">
        <v>135</v>
      </c>
      <c r="I181" s="81" t="s">
        <v>136</v>
      </c>
      <c r="J181" s="67" t="s">
        <v>135</v>
      </c>
      <c r="K181" s="292"/>
      <c r="L181" s="68">
        <f t="shared" si="73"/>
        <v>500000</v>
      </c>
      <c r="M181" s="69">
        <f t="shared" si="73"/>
        <v>0</v>
      </c>
      <c r="N181" s="216">
        <f t="shared" si="73"/>
        <v>100000</v>
      </c>
      <c r="O181" s="216">
        <f t="shared" si="73"/>
        <v>0</v>
      </c>
      <c r="P181" s="216">
        <f t="shared" si="73"/>
        <v>100000</v>
      </c>
      <c r="Q181" s="215">
        <f t="shared" si="74"/>
        <v>100000</v>
      </c>
      <c r="R181" s="216">
        <f t="shared" si="74"/>
        <v>0</v>
      </c>
      <c r="S181" s="216">
        <f t="shared" si="74"/>
        <v>0</v>
      </c>
      <c r="T181" s="216">
        <f t="shared" si="74"/>
        <v>100000</v>
      </c>
      <c r="U181" s="217">
        <f t="shared" si="74"/>
        <v>100000</v>
      </c>
      <c r="V181" s="216">
        <f t="shared" si="74"/>
        <v>100000</v>
      </c>
      <c r="W181" s="215">
        <f t="shared" si="74"/>
        <v>0</v>
      </c>
      <c r="X181" s="215">
        <f t="shared" si="74"/>
        <v>0</v>
      </c>
      <c r="Y181" s="216">
        <f t="shared" si="74"/>
        <v>100000</v>
      </c>
      <c r="Z181" s="217">
        <f t="shared" si="74"/>
        <v>100000</v>
      </c>
      <c r="AA181" s="216">
        <f t="shared" si="74"/>
        <v>0</v>
      </c>
      <c r="AB181" s="216">
        <f t="shared" si="74"/>
        <v>100000</v>
      </c>
    </row>
    <row r="182" spans="1:28" ht="25.5" x14ac:dyDescent="0.2">
      <c r="A182" s="212" t="s">
        <v>372</v>
      </c>
      <c r="B182" s="77" t="s">
        <v>107</v>
      </c>
      <c r="C182" s="78" t="s">
        <v>69</v>
      </c>
      <c r="D182" s="79" t="s">
        <v>95</v>
      </c>
      <c r="E182" s="103" t="s">
        <v>6</v>
      </c>
      <c r="F182" s="66" t="s">
        <v>135</v>
      </c>
      <c r="G182" s="66" t="s">
        <v>135</v>
      </c>
      <c r="H182" s="66" t="s">
        <v>135</v>
      </c>
      <c r="I182" s="66" t="s">
        <v>15</v>
      </c>
      <c r="J182" s="67" t="s">
        <v>135</v>
      </c>
      <c r="K182" s="309"/>
      <c r="L182" s="68">
        <f t="shared" si="73"/>
        <v>500000</v>
      </c>
      <c r="M182" s="69">
        <f t="shared" si="73"/>
        <v>0</v>
      </c>
      <c r="N182" s="216">
        <f t="shared" si="73"/>
        <v>100000</v>
      </c>
      <c r="O182" s="216">
        <f t="shared" si="73"/>
        <v>0</v>
      </c>
      <c r="P182" s="216">
        <f t="shared" si="73"/>
        <v>100000</v>
      </c>
      <c r="Q182" s="215">
        <f t="shared" si="74"/>
        <v>100000</v>
      </c>
      <c r="R182" s="216">
        <f t="shared" si="74"/>
        <v>0</v>
      </c>
      <c r="S182" s="216">
        <f t="shared" si="74"/>
        <v>0</v>
      </c>
      <c r="T182" s="216">
        <f t="shared" si="74"/>
        <v>100000</v>
      </c>
      <c r="U182" s="217">
        <f t="shared" si="74"/>
        <v>100000</v>
      </c>
      <c r="V182" s="216">
        <f t="shared" si="74"/>
        <v>100000</v>
      </c>
      <c r="W182" s="215">
        <f t="shared" si="74"/>
        <v>0</v>
      </c>
      <c r="X182" s="215">
        <f t="shared" si="74"/>
        <v>0</v>
      </c>
      <c r="Y182" s="216">
        <f t="shared" si="74"/>
        <v>100000</v>
      </c>
      <c r="Z182" s="217">
        <f t="shared" si="74"/>
        <v>100000</v>
      </c>
      <c r="AA182" s="216">
        <f t="shared" si="74"/>
        <v>0</v>
      </c>
      <c r="AB182" s="216">
        <f t="shared" si="74"/>
        <v>100000</v>
      </c>
    </row>
    <row r="183" spans="1:28" x14ac:dyDescent="0.2">
      <c r="A183" s="212" t="s">
        <v>62</v>
      </c>
      <c r="B183" s="77" t="s">
        <v>107</v>
      </c>
      <c r="C183" s="78" t="s">
        <v>69</v>
      </c>
      <c r="D183" s="79" t="s">
        <v>95</v>
      </c>
      <c r="E183" s="103" t="s">
        <v>6</v>
      </c>
      <c r="F183" s="66" t="s">
        <v>135</v>
      </c>
      <c r="G183" s="66" t="s">
        <v>135</v>
      </c>
      <c r="H183" s="66" t="s">
        <v>135</v>
      </c>
      <c r="I183" s="66" t="s">
        <v>15</v>
      </c>
      <c r="J183" s="67" t="s">
        <v>135</v>
      </c>
      <c r="K183" s="309" t="s">
        <v>63</v>
      </c>
      <c r="L183" s="68">
        <f t="shared" si="73"/>
        <v>500000</v>
      </c>
      <c r="M183" s="69">
        <f t="shared" si="73"/>
        <v>0</v>
      </c>
      <c r="N183" s="216">
        <f t="shared" si="73"/>
        <v>100000</v>
      </c>
      <c r="O183" s="216">
        <f t="shared" si="73"/>
        <v>0</v>
      </c>
      <c r="P183" s="216">
        <f t="shared" si="73"/>
        <v>100000</v>
      </c>
      <c r="Q183" s="215">
        <f t="shared" si="74"/>
        <v>100000</v>
      </c>
      <c r="R183" s="216">
        <f t="shared" si="74"/>
        <v>0</v>
      </c>
      <c r="S183" s="216">
        <f t="shared" si="74"/>
        <v>0</v>
      </c>
      <c r="T183" s="216">
        <f t="shared" si="74"/>
        <v>100000</v>
      </c>
      <c r="U183" s="217">
        <f t="shared" si="74"/>
        <v>100000</v>
      </c>
      <c r="V183" s="216">
        <f t="shared" si="74"/>
        <v>100000</v>
      </c>
      <c r="W183" s="215">
        <f t="shared" si="74"/>
        <v>0</v>
      </c>
      <c r="X183" s="215">
        <f t="shared" si="74"/>
        <v>0</v>
      </c>
      <c r="Y183" s="216">
        <f t="shared" si="74"/>
        <v>100000</v>
      </c>
      <c r="Z183" s="217">
        <f t="shared" si="74"/>
        <v>100000</v>
      </c>
      <c r="AA183" s="216">
        <f>AA184</f>
        <v>0</v>
      </c>
      <c r="AB183" s="216">
        <f t="shared" si="74"/>
        <v>100000</v>
      </c>
    </row>
    <row r="184" spans="1:28" x14ac:dyDescent="0.2">
      <c r="A184" s="212" t="s">
        <v>50</v>
      </c>
      <c r="B184" s="77" t="s">
        <v>107</v>
      </c>
      <c r="C184" s="78" t="s">
        <v>69</v>
      </c>
      <c r="D184" s="79" t="s">
        <v>95</v>
      </c>
      <c r="E184" s="103" t="s">
        <v>6</v>
      </c>
      <c r="F184" s="66" t="s">
        <v>135</v>
      </c>
      <c r="G184" s="66" t="s">
        <v>135</v>
      </c>
      <c r="H184" s="66" t="s">
        <v>135</v>
      </c>
      <c r="I184" s="66" t="s">
        <v>15</v>
      </c>
      <c r="J184" s="67" t="s">
        <v>135</v>
      </c>
      <c r="K184" s="309">
        <v>870</v>
      </c>
      <c r="L184" s="68">
        <v>500000</v>
      </c>
      <c r="M184" s="69">
        <v>0</v>
      </c>
      <c r="N184" s="216">
        <v>100000</v>
      </c>
      <c r="O184" s="216">
        <v>0</v>
      </c>
      <c r="P184" s="216">
        <v>100000</v>
      </c>
      <c r="Q184" s="215">
        <v>100000</v>
      </c>
      <c r="R184" s="216">
        <v>0</v>
      </c>
      <c r="S184" s="216">
        <v>0</v>
      </c>
      <c r="T184" s="216">
        <v>100000</v>
      </c>
      <c r="U184" s="217">
        <v>100000</v>
      </c>
      <c r="V184" s="216">
        <v>100000</v>
      </c>
      <c r="W184" s="215">
        <v>0</v>
      </c>
      <c r="X184" s="215">
        <v>0</v>
      </c>
      <c r="Y184" s="216">
        <v>100000</v>
      </c>
      <c r="Z184" s="217">
        <v>100000</v>
      </c>
      <c r="AA184" s="216">
        <v>0</v>
      </c>
      <c r="AB184" s="216">
        <v>100000</v>
      </c>
    </row>
    <row r="185" spans="1:28" x14ac:dyDescent="0.2">
      <c r="A185" s="207" t="s">
        <v>85</v>
      </c>
      <c r="B185" s="77" t="s">
        <v>107</v>
      </c>
      <c r="C185" s="78" t="s">
        <v>72</v>
      </c>
      <c r="D185" s="79"/>
      <c r="E185" s="77"/>
      <c r="F185" s="79"/>
      <c r="G185" s="66"/>
      <c r="H185" s="66"/>
      <c r="I185" s="79"/>
      <c r="J185" s="80"/>
      <c r="K185" s="291"/>
      <c r="L185" s="101">
        <f t="shared" ref="L185:P189" si="75">L186</f>
        <v>1000000</v>
      </c>
      <c r="M185" s="102">
        <f t="shared" si="75"/>
        <v>0</v>
      </c>
      <c r="N185" s="248">
        <f t="shared" si="75"/>
        <v>1330887.8899999999</v>
      </c>
      <c r="O185" s="248">
        <f t="shared" si="75"/>
        <v>-1000000</v>
      </c>
      <c r="P185" s="248">
        <f t="shared" si="75"/>
        <v>330887.8899999999</v>
      </c>
      <c r="Q185" s="473">
        <f t="shared" ref="Q185:AB189" si="76">Q186</f>
        <v>200000</v>
      </c>
      <c r="R185" s="248">
        <f t="shared" si="76"/>
        <v>0</v>
      </c>
      <c r="S185" s="248">
        <f t="shared" si="76"/>
        <v>0</v>
      </c>
      <c r="T185" s="248">
        <f t="shared" si="76"/>
        <v>330887.89</v>
      </c>
      <c r="U185" s="249">
        <f t="shared" si="76"/>
        <v>200000</v>
      </c>
      <c r="V185" s="248">
        <f t="shared" si="76"/>
        <v>200000</v>
      </c>
      <c r="W185" s="473">
        <f t="shared" si="76"/>
        <v>0</v>
      </c>
      <c r="X185" s="473">
        <f t="shared" si="76"/>
        <v>0</v>
      </c>
      <c r="Y185" s="248">
        <f t="shared" si="76"/>
        <v>200000</v>
      </c>
      <c r="Z185" s="249">
        <f t="shared" si="76"/>
        <v>200000</v>
      </c>
      <c r="AA185" s="248">
        <f t="shared" si="76"/>
        <v>0</v>
      </c>
      <c r="AB185" s="248">
        <f t="shared" si="76"/>
        <v>200000</v>
      </c>
    </row>
    <row r="186" spans="1:28" ht="30" customHeight="1" x14ac:dyDescent="0.2">
      <c r="A186" s="258" t="s">
        <v>228</v>
      </c>
      <c r="B186" s="77" t="s">
        <v>107</v>
      </c>
      <c r="C186" s="78" t="s">
        <v>72</v>
      </c>
      <c r="D186" s="79" t="s">
        <v>88</v>
      </c>
      <c r="E186" s="58"/>
      <c r="F186" s="60"/>
      <c r="G186" s="66"/>
      <c r="H186" s="66"/>
      <c r="I186" s="60"/>
      <c r="J186" s="76"/>
      <c r="K186" s="408"/>
      <c r="L186" s="101">
        <f t="shared" si="75"/>
        <v>1000000</v>
      </c>
      <c r="M186" s="102">
        <f t="shared" si="75"/>
        <v>0</v>
      </c>
      <c r="N186" s="248">
        <f t="shared" si="75"/>
        <v>1330887.8899999999</v>
      </c>
      <c r="O186" s="248">
        <f t="shared" si="75"/>
        <v>-1000000</v>
      </c>
      <c r="P186" s="248">
        <f t="shared" si="75"/>
        <v>330887.8899999999</v>
      </c>
      <c r="Q186" s="473">
        <f t="shared" si="76"/>
        <v>200000</v>
      </c>
      <c r="R186" s="248">
        <f t="shared" si="76"/>
        <v>0</v>
      </c>
      <c r="S186" s="248">
        <f t="shared" si="76"/>
        <v>0</v>
      </c>
      <c r="T186" s="248">
        <f t="shared" si="76"/>
        <v>330887.89</v>
      </c>
      <c r="U186" s="249">
        <f t="shared" si="76"/>
        <v>200000</v>
      </c>
      <c r="V186" s="248">
        <f t="shared" si="76"/>
        <v>200000</v>
      </c>
      <c r="W186" s="473">
        <f t="shared" si="76"/>
        <v>0</v>
      </c>
      <c r="X186" s="473">
        <f t="shared" si="76"/>
        <v>0</v>
      </c>
      <c r="Y186" s="248">
        <f t="shared" si="76"/>
        <v>200000</v>
      </c>
      <c r="Z186" s="249">
        <f t="shared" si="76"/>
        <v>200000</v>
      </c>
      <c r="AA186" s="248">
        <f t="shared" si="76"/>
        <v>0</v>
      </c>
      <c r="AB186" s="248">
        <f t="shared" si="76"/>
        <v>200000</v>
      </c>
    </row>
    <row r="187" spans="1:28" ht="39" customHeight="1" x14ac:dyDescent="0.2">
      <c r="A187" s="212" t="s">
        <v>33</v>
      </c>
      <c r="B187" s="77" t="s">
        <v>107</v>
      </c>
      <c r="C187" s="78" t="s">
        <v>72</v>
      </c>
      <c r="D187" s="79" t="s">
        <v>88</v>
      </c>
      <c r="E187" s="103" t="s">
        <v>25</v>
      </c>
      <c r="F187" s="66" t="s">
        <v>135</v>
      </c>
      <c r="G187" s="66" t="s">
        <v>135</v>
      </c>
      <c r="H187" s="66" t="s">
        <v>135</v>
      </c>
      <c r="I187" s="66" t="s">
        <v>136</v>
      </c>
      <c r="J187" s="67" t="s">
        <v>135</v>
      </c>
      <c r="K187" s="309"/>
      <c r="L187" s="68">
        <f t="shared" si="75"/>
        <v>1000000</v>
      </c>
      <c r="M187" s="69">
        <f t="shared" si="75"/>
        <v>0</v>
      </c>
      <c r="N187" s="216">
        <f t="shared" si="75"/>
        <v>1330887.8899999999</v>
      </c>
      <c r="O187" s="216">
        <f t="shared" si="75"/>
        <v>-1000000</v>
      </c>
      <c r="P187" s="216">
        <f t="shared" si="75"/>
        <v>330887.8899999999</v>
      </c>
      <c r="Q187" s="215">
        <f t="shared" si="76"/>
        <v>200000</v>
      </c>
      <c r="R187" s="216">
        <f t="shared" si="76"/>
        <v>0</v>
      </c>
      <c r="S187" s="216">
        <f t="shared" si="76"/>
        <v>0</v>
      </c>
      <c r="T187" s="216">
        <f t="shared" si="76"/>
        <v>330887.89</v>
      </c>
      <c r="U187" s="217">
        <f t="shared" si="76"/>
        <v>200000</v>
      </c>
      <c r="V187" s="216">
        <f t="shared" si="76"/>
        <v>200000</v>
      </c>
      <c r="W187" s="215">
        <f t="shared" si="76"/>
        <v>0</v>
      </c>
      <c r="X187" s="215">
        <f t="shared" si="76"/>
        <v>0</v>
      </c>
      <c r="Y187" s="216">
        <f t="shared" si="76"/>
        <v>200000</v>
      </c>
      <c r="Z187" s="217">
        <f t="shared" si="76"/>
        <v>200000</v>
      </c>
      <c r="AA187" s="216">
        <f t="shared" si="76"/>
        <v>0</v>
      </c>
      <c r="AB187" s="216">
        <f t="shared" si="76"/>
        <v>200000</v>
      </c>
    </row>
    <row r="188" spans="1:28" ht="45.75" customHeight="1" x14ac:dyDescent="0.2">
      <c r="A188" s="212" t="s">
        <v>353</v>
      </c>
      <c r="B188" s="77" t="s">
        <v>107</v>
      </c>
      <c r="C188" s="78" t="s">
        <v>72</v>
      </c>
      <c r="D188" s="79" t="s">
        <v>88</v>
      </c>
      <c r="E188" s="103" t="s">
        <v>25</v>
      </c>
      <c r="F188" s="66" t="s">
        <v>135</v>
      </c>
      <c r="G188" s="66" t="s">
        <v>135</v>
      </c>
      <c r="H188" s="66" t="s">
        <v>135</v>
      </c>
      <c r="I188" s="66" t="s">
        <v>17</v>
      </c>
      <c r="J188" s="67" t="s">
        <v>135</v>
      </c>
      <c r="K188" s="309"/>
      <c r="L188" s="68">
        <f t="shared" si="75"/>
        <v>1000000</v>
      </c>
      <c r="M188" s="69">
        <f t="shared" si="75"/>
        <v>0</v>
      </c>
      <c r="N188" s="216">
        <f t="shared" si="75"/>
        <v>1330887.8899999999</v>
      </c>
      <c r="O188" s="216">
        <f t="shared" si="75"/>
        <v>-1000000</v>
      </c>
      <c r="P188" s="216">
        <f t="shared" si="75"/>
        <v>330887.8899999999</v>
      </c>
      <c r="Q188" s="215">
        <f t="shared" si="76"/>
        <v>200000</v>
      </c>
      <c r="R188" s="216">
        <f t="shared" si="76"/>
        <v>0</v>
      </c>
      <c r="S188" s="216">
        <f t="shared" si="76"/>
        <v>0</v>
      </c>
      <c r="T188" s="216">
        <f t="shared" si="76"/>
        <v>330887.89</v>
      </c>
      <c r="U188" s="217">
        <f t="shared" si="76"/>
        <v>200000</v>
      </c>
      <c r="V188" s="216">
        <f t="shared" si="76"/>
        <v>200000</v>
      </c>
      <c r="W188" s="215">
        <f t="shared" si="76"/>
        <v>0</v>
      </c>
      <c r="X188" s="215">
        <f t="shared" si="76"/>
        <v>0</v>
      </c>
      <c r="Y188" s="216">
        <f t="shared" si="76"/>
        <v>200000</v>
      </c>
      <c r="Z188" s="217">
        <f t="shared" si="76"/>
        <v>200000</v>
      </c>
      <c r="AA188" s="216">
        <f t="shared" si="76"/>
        <v>0</v>
      </c>
      <c r="AB188" s="216">
        <f t="shared" si="76"/>
        <v>200000</v>
      </c>
    </row>
    <row r="189" spans="1:28" x14ac:dyDescent="0.2">
      <c r="A189" s="212" t="s">
        <v>62</v>
      </c>
      <c r="B189" s="77" t="s">
        <v>107</v>
      </c>
      <c r="C189" s="78" t="s">
        <v>72</v>
      </c>
      <c r="D189" s="79" t="s">
        <v>88</v>
      </c>
      <c r="E189" s="103" t="s">
        <v>25</v>
      </c>
      <c r="F189" s="66" t="s">
        <v>135</v>
      </c>
      <c r="G189" s="66" t="s">
        <v>135</v>
      </c>
      <c r="H189" s="66" t="s">
        <v>135</v>
      </c>
      <c r="I189" s="66" t="s">
        <v>17</v>
      </c>
      <c r="J189" s="67" t="s">
        <v>135</v>
      </c>
      <c r="K189" s="309" t="s">
        <v>63</v>
      </c>
      <c r="L189" s="68">
        <f t="shared" si="75"/>
        <v>1000000</v>
      </c>
      <c r="M189" s="69">
        <f t="shared" si="75"/>
        <v>0</v>
      </c>
      <c r="N189" s="216">
        <f t="shared" si="75"/>
        <v>1330887.8899999999</v>
      </c>
      <c r="O189" s="216">
        <f t="shared" si="75"/>
        <v>-1000000</v>
      </c>
      <c r="P189" s="216">
        <f t="shared" si="75"/>
        <v>330887.8899999999</v>
      </c>
      <c r="Q189" s="215">
        <f t="shared" si="76"/>
        <v>200000</v>
      </c>
      <c r="R189" s="216">
        <f t="shared" si="76"/>
        <v>0</v>
      </c>
      <c r="S189" s="216">
        <f t="shared" si="76"/>
        <v>0</v>
      </c>
      <c r="T189" s="216">
        <f t="shared" si="76"/>
        <v>330887.89</v>
      </c>
      <c r="U189" s="217">
        <f t="shared" si="76"/>
        <v>200000</v>
      </c>
      <c r="V189" s="216">
        <f t="shared" si="76"/>
        <v>200000</v>
      </c>
      <c r="W189" s="215">
        <f t="shared" si="76"/>
        <v>0</v>
      </c>
      <c r="X189" s="215">
        <f t="shared" si="76"/>
        <v>0</v>
      </c>
      <c r="Y189" s="216">
        <f t="shared" si="76"/>
        <v>200000</v>
      </c>
      <c r="Z189" s="217">
        <f t="shared" si="76"/>
        <v>200000</v>
      </c>
      <c r="AA189" s="216">
        <f t="shared" si="76"/>
        <v>0</v>
      </c>
      <c r="AB189" s="216">
        <f t="shared" si="76"/>
        <v>200000</v>
      </c>
    </row>
    <row r="190" spans="1:28" ht="18.75" customHeight="1" x14ac:dyDescent="0.2">
      <c r="A190" s="212" t="s">
        <v>50</v>
      </c>
      <c r="B190" s="77" t="s">
        <v>107</v>
      </c>
      <c r="C190" s="78" t="s">
        <v>72</v>
      </c>
      <c r="D190" s="79" t="s">
        <v>88</v>
      </c>
      <c r="E190" s="103" t="s">
        <v>25</v>
      </c>
      <c r="F190" s="66" t="s">
        <v>135</v>
      </c>
      <c r="G190" s="66" t="s">
        <v>135</v>
      </c>
      <c r="H190" s="66" t="s">
        <v>135</v>
      </c>
      <c r="I190" s="66" t="s">
        <v>17</v>
      </c>
      <c r="J190" s="67" t="s">
        <v>135</v>
      </c>
      <c r="K190" s="309">
        <v>870</v>
      </c>
      <c r="L190" s="68">
        <v>1000000</v>
      </c>
      <c r="M190" s="69">
        <v>0</v>
      </c>
      <c r="N190" s="216">
        <v>1330887.8899999999</v>
      </c>
      <c r="O190" s="216">
        <v>-1000000</v>
      </c>
      <c r="P190" s="216">
        <f>O190+N190</f>
        <v>330887.8899999999</v>
      </c>
      <c r="Q190" s="215">
        <v>200000</v>
      </c>
      <c r="R190" s="216">
        <v>0</v>
      </c>
      <c r="S190" s="216">
        <v>0</v>
      </c>
      <c r="T190" s="216">
        <v>330887.89</v>
      </c>
      <c r="U190" s="217">
        <v>200000</v>
      </c>
      <c r="V190" s="216">
        <v>200000</v>
      </c>
      <c r="W190" s="215">
        <v>0</v>
      </c>
      <c r="X190" s="215">
        <v>0</v>
      </c>
      <c r="Y190" s="216">
        <v>200000</v>
      </c>
      <c r="Z190" s="217">
        <v>200000</v>
      </c>
      <c r="AA190" s="216">
        <v>0</v>
      </c>
      <c r="AB190" s="216">
        <v>200000</v>
      </c>
    </row>
    <row r="191" spans="1:28" ht="18.75" hidden="1" customHeight="1" x14ac:dyDescent="0.2">
      <c r="A191" s="400" t="s">
        <v>78</v>
      </c>
      <c r="B191" s="58" t="s">
        <v>107</v>
      </c>
      <c r="C191" s="78" t="s">
        <v>74</v>
      </c>
      <c r="D191" s="79"/>
      <c r="E191" s="77"/>
      <c r="F191" s="79"/>
      <c r="G191" s="66"/>
      <c r="H191" s="66"/>
      <c r="I191" s="79"/>
      <c r="J191" s="80"/>
      <c r="K191" s="291"/>
      <c r="L191" s="68"/>
      <c r="M191" s="69"/>
      <c r="N191" s="216">
        <f t="shared" ref="N191:AB195" si="77">N192</f>
        <v>0</v>
      </c>
      <c r="O191" s="216">
        <f t="shared" si="77"/>
        <v>0</v>
      </c>
      <c r="P191" s="216">
        <f t="shared" si="77"/>
        <v>0</v>
      </c>
      <c r="Q191" s="215">
        <f t="shared" si="77"/>
        <v>0</v>
      </c>
      <c r="R191" s="216">
        <f t="shared" si="77"/>
        <v>0</v>
      </c>
      <c r="S191" s="216">
        <f t="shared" si="77"/>
        <v>0</v>
      </c>
      <c r="T191" s="216">
        <f t="shared" si="77"/>
        <v>0</v>
      </c>
      <c r="U191" s="217">
        <f t="shared" si="77"/>
        <v>0</v>
      </c>
      <c r="V191" s="216">
        <f t="shared" si="77"/>
        <v>0</v>
      </c>
      <c r="W191" s="215">
        <f t="shared" si="77"/>
        <v>0</v>
      </c>
      <c r="X191" s="215">
        <f t="shared" si="77"/>
        <v>0</v>
      </c>
      <c r="Y191" s="216">
        <f t="shared" si="77"/>
        <v>0</v>
      </c>
      <c r="Z191" s="217">
        <f t="shared" si="77"/>
        <v>0</v>
      </c>
      <c r="AA191" s="216">
        <f t="shared" si="77"/>
        <v>0</v>
      </c>
      <c r="AB191" s="216">
        <f t="shared" si="77"/>
        <v>0</v>
      </c>
    </row>
    <row r="192" spans="1:28" ht="30" hidden="1" customHeight="1" x14ac:dyDescent="0.2">
      <c r="A192" s="207" t="s">
        <v>191</v>
      </c>
      <c r="B192" s="77" t="s">
        <v>107</v>
      </c>
      <c r="C192" s="78" t="s">
        <v>74</v>
      </c>
      <c r="D192" s="79" t="s">
        <v>73</v>
      </c>
      <c r="E192" s="103"/>
      <c r="F192" s="66"/>
      <c r="G192" s="66"/>
      <c r="H192" s="66"/>
      <c r="I192" s="66"/>
      <c r="J192" s="67"/>
      <c r="K192" s="309"/>
      <c r="L192" s="68"/>
      <c r="M192" s="69"/>
      <c r="N192" s="216">
        <f t="shared" si="77"/>
        <v>0</v>
      </c>
      <c r="O192" s="216">
        <f t="shared" si="77"/>
        <v>0</v>
      </c>
      <c r="P192" s="216">
        <f t="shared" si="77"/>
        <v>0</v>
      </c>
      <c r="Q192" s="215">
        <f t="shared" si="77"/>
        <v>0</v>
      </c>
      <c r="R192" s="216">
        <f t="shared" si="77"/>
        <v>0</v>
      </c>
      <c r="S192" s="216">
        <f t="shared" si="77"/>
        <v>0</v>
      </c>
      <c r="T192" s="216">
        <f t="shared" si="77"/>
        <v>0</v>
      </c>
      <c r="U192" s="217">
        <f t="shared" si="77"/>
        <v>0</v>
      </c>
      <c r="V192" s="216">
        <f t="shared" si="77"/>
        <v>0</v>
      </c>
      <c r="W192" s="215">
        <f t="shared" si="77"/>
        <v>0</v>
      </c>
      <c r="X192" s="215">
        <f t="shared" si="77"/>
        <v>0</v>
      </c>
      <c r="Y192" s="216">
        <f t="shared" si="77"/>
        <v>0</v>
      </c>
      <c r="Z192" s="217">
        <f t="shared" si="77"/>
        <v>0</v>
      </c>
      <c r="AA192" s="216">
        <f t="shared" si="77"/>
        <v>0</v>
      </c>
      <c r="AB192" s="216">
        <f t="shared" si="77"/>
        <v>0</v>
      </c>
    </row>
    <row r="193" spans="1:28" ht="40.5" hidden="1" customHeight="1" x14ac:dyDescent="0.2">
      <c r="A193" s="212" t="s">
        <v>352</v>
      </c>
      <c r="B193" s="77" t="s">
        <v>107</v>
      </c>
      <c r="C193" s="78" t="s">
        <v>74</v>
      </c>
      <c r="D193" s="79" t="s">
        <v>73</v>
      </c>
      <c r="E193" s="103" t="s">
        <v>102</v>
      </c>
      <c r="F193" s="66" t="s">
        <v>135</v>
      </c>
      <c r="G193" s="66" t="s">
        <v>135</v>
      </c>
      <c r="H193" s="66" t="s">
        <v>135</v>
      </c>
      <c r="I193" s="66" t="s">
        <v>136</v>
      </c>
      <c r="J193" s="67" t="s">
        <v>135</v>
      </c>
      <c r="K193" s="291"/>
      <c r="L193" s="68"/>
      <c r="M193" s="69"/>
      <c r="N193" s="216">
        <f t="shared" ref="N193:Z193" si="78">N1726</f>
        <v>0</v>
      </c>
      <c r="O193" s="216">
        <f t="shared" si="78"/>
        <v>0</v>
      </c>
      <c r="P193" s="216">
        <f t="shared" si="78"/>
        <v>0</v>
      </c>
      <c r="Q193" s="215">
        <f t="shared" si="78"/>
        <v>0</v>
      </c>
      <c r="R193" s="216">
        <f t="shared" si="78"/>
        <v>0</v>
      </c>
      <c r="S193" s="216">
        <f>S1726</f>
        <v>0</v>
      </c>
      <c r="T193" s="216">
        <f>T1726</f>
        <v>0</v>
      </c>
      <c r="U193" s="217">
        <f t="shared" si="78"/>
        <v>0</v>
      </c>
      <c r="V193" s="216">
        <f t="shared" si="78"/>
        <v>0</v>
      </c>
      <c r="W193" s="215">
        <f t="shared" si="78"/>
        <v>0</v>
      </c>
      <c r="X193" s="215">
        <f>X1726</f>
        <v>0</v>
      </c>
      <c r="Y193" s="216">
        <f>Y1726</f>
        <v>0</v>
      </c>
      <c r="Z193" s="217">
        <f t="shared" si="78"/>
        <v>0</v>
      </c>
      <c r="AA193" s="216">
        <f>AA1726</f>
        <v>0</v>
      </c>
      <c r="AB193" s="216">
        <f>AB1726</f>
        <v>0</v>
      </c>
    </row>
    <row r="194" spans="1:28" ht="34.5" hidden="1" customHeight="1" x14ac:dyDescent="0.2">
      <c r="A194" s="213" t="s">
        <v>29</v>
      </c>
      <c r="B194" s="77" t="s">
        <v>107</v>
      </c>
      <c r="C194" s="78" t="s">
        <v>74</v>
      </c>
      <c r="D194" s="79" t="s">
        <v>73</v>
      </c>
      <c r="E194" s="103" t="s">
        <v>102</v>
      </c>
      <c r="F194" s="66" t="s">
        <v>135</v>
      </c>
      <c r="G194" s="66" t="s">
        <v>135</v>
      </c>
      <c r="H194" s="66" t="s">
        <v>135</v>
      </c>
      <c r="I194" s="66" t="s">
        <v>27</v>
      </c>
      <c r="J194" s="67" t="s">
        <v>135</v>
      </c>
      <c r="K194" s="291"/>
      <c r="L194" s="68"/>
      <c r="M194" s="69"/>
      <c r="N194" s="216">
        <f t="shared" si="77"/>
        <v>0</v>
      </c>
      <c r="O194" s="216">
        <f t="shared" si="77"/>
        <v>0</v>
      </c>
      <c r="P194" s="216">
        <f t="shared" si="77"/>
        <v>0</v>
      </c>
      <c r="Q194" s="215">
        <f t="shared" si="77"/>
        <v>0</v>
      </c>
      <c r="R194" s="216">
        <f t="shared" si="77"/>
        <v>0</v>
      </c>
      <c r="S194" s="216">
        <f t="shared" si="77"/>
        <v>0</v>
      </c>
      <c r="T194" s="216">
        <f t="shared" si="77"/>
        <v>0</v>
      </c>
      <c r="U194" s="217">
        <f t="shared" si="77"/>
        <v>0</v>
      </c>
      <c r="V194" s="216">
        <f t="shared" si="77"/>
        <v>0</v>
      </c>
      <c r="W194" s="215">
        <f t="shared" si="77"/>
        <v>0</v>
      </c>
      <c r="X194" s="215">
        <f t="shared" si="77"/>
        <v>0</v>
      </c>
      <c r="Y194" s="216">
        <f t="shared" si="77"/>
        <v>0</v>
      </c>
      <c r="Z194" s="217">
        <f t="shared" si="77"/>
        <v>0</v>
      </c>
      <c r="AA194" s="216">
        <f t="shared" si="77"/>
        <v>0</v>
      </c>
      <c r="AB194" s="216">
        <f t="shared" si="77"/>
        <v>0</v>
      </c>
    </row>
    <row r="195" spans="1:28" ht="32.25" hidden="1" customHeight="1" x14ac:dyDescent="0.2">
      <c r="A195" s="212" t="s">
        <v>52</v>
      </c>
      <c r="B195" s="77" t="s">
        <v>107</v>
      </c>
      <c r="C195" s="78" t="s">
        <v>74</v>
      </c>
      <c r="D195" s="79" t="s">
        <v>73</v>
      </c>
      <c r="E195" s="103" t="s">
        <v>102</v>
      </c>
      <c r="F195" s="66" t="s">
        <v>135</v>
      </c>
      <c r="G195" s="66" t="s">
        <v>135</v>
      </c>
      <c r="H195" s="66" t="s">
        <v>135</v>
      </c>
      <c r="I195" s="71" t="s">
        <v>27</v>
      </c>
      <c r="J195" s="67" t="s">
        <v>135</v>
      </c>
      <c r="K195" s="309" t="s">
        <v>53</v>
      </c>
      <c r="L195" s="68"/>
      <c r="M195" s="69"/>
      <c r="N195" s="216">
        <f t="shared" si="77"/>
        <v>0</v>
      </c>
      <c r="O195" s="216">
        <f t="shared" si="77"/>
        <v>0</v>
      </c>
      <c r="P195" s="216">
        <f t="shared" si="77"/>
        <v>0</v>
      </c>
      <c r="Q195" s="215">
        <f t="shared" si="77"/>
        <v>0</v>
      </c>
      <c r="R195" s="216">
        <f t="shared" si="77"/>
        <v>0</v>
      </c>
      <c r="S195" s="216">
        <f t="shared" si="77"/>
        <v>0</v>
      </c>
      <c r="T195" s="216">
        <f t="shared" si="77"/>
        <v>0</v>
      </c>
      <c r="U195" s="217">
        <f t="shared" si="77"/>
        <v>0</v>
      </c>
      <c r="V195" s="216">
        <f t="shared" si="77"/>
        <v>0</v>
      </c>
      <c r="W195" s="215">
        <f t="shared" si="77"/>
        <v>0</v>
      </c>
      <c r="X195" s="215">
        <f t="shared" si="77"/>
        <v>0</v>
      </c>
      <c r="Y195" s="216">
        <f t="shared" si="77"/>
        <v>0</v>
      </c>
      <c r="Z195" s="217">
        <f t="shared" si="77"/>
        <v>0</v>
      </c>
      <c r="AA195" s="216">
        <f t="shared" si="77"/>
        <v>0</v>
      </c>
      <c r="AB195" s="216">
        <f t="shared" si="77"/>
        <v>0</v>
      </c>
    </row>
    <row r="196" spans="1:28" ht="29.25" hidden="1" customHeight="1" x14ac:dyDescent="0.2">
      <c r="A196" s="212" t="s">
        <v>54</v>
      </c>
      <c r="B196" s="77" t="s">
        <v>107</v>
      </c>
      <c r="C196" s="78" t="s">
        <v>74</v>
      </c>
      <c r="D196" s="79" t="s">
        <v>73</v>
      </c>
      <c r="E196" s="103" t="s">
        <v>102</v>
      </c>
      <c r="F196" s="66" t="s">
        <v>135</v>
      </c>
      <c r="G196" s="66" t="s">
        <v>135</v>
      </c>
      <c r="H196" s="66" t="s">
        <v>135</v>
      </c>
      <c r="I196" s="71" t="s">
        <v>27</v>
      </c>
      <c r="J196" s="67" t="s">
        <v>135</v>
      </c>
      <c r="K196" s="309" t="s">
        <v>55</v>
      </c>
      <c r="L196" s="68"/>
      <c r="M196" s="69"/>
      <c r="N196" s="216"/>
      <c r="O196" s="216"/>
      <c r="P196" s="216"/>
      <c r="Q196" s="215">
        <v>0</v>
      </c>
      <c r="R196" s="216">
        <v>0</v>
      </c>
      <c r="S196" s="216"/>
      <c r="T196" s="216"/>
      <c r="U196" s="217">
        <v>0</v>
      </c>
      <c r="V196" s="216">
        <v>0</v>
      </c>
      <c r="W196" s="215">
        <v>0</v>
      </c>
      <c r="X196" s="215">
        <v>0</v>
      </c>
      <c r="Y196" s="216">
        <v>0</v>
      </c>
      <c r="Z196" s="217">
        <v>0</v>
      </c>
      <c r="AA196" s="216">
        <v>0</v>
      </c>
      <c r="AB196" s="216">
        <v>0</v>
      </c>
    </row>
    <row r="197" spans="1:28" s="2" customFormat="1" ht="6.75" customHeight="1" x14ac:dyDescent="0.2">
      <c r="A197" s="280"/>
      <c r="B197" s="84"/>
      <c r="C197" s="85"/>
      <c r="D197" s="84"/>
      <c r="E197" s="106"/>
      <c r="F197" s="107"/>
      <c r="G197" s="88"/>
      <c r="H197" s="88"/>
      <c r="I197" s="89"/>
      <c r="J197" s="90"/>
      <c r="K197" s="298"/>
      <c r="L197" s="91"/>
      <c r="M197" s="92"/>
      <c r="N197" s="327"/>
      <c r="O197" s="327"/>
      <c r="P197" s="327"/>
      <c r="Q197" s="326"/>
      <c r="R197" s="327"/>
      <c r="S197" s="327"/>
      <c r="T197" s="327"/>
      <c r="U197" s="328"/>
      <c r="V197" s="327"/>
      <c r="W197" s="326"/>
      <c r="X197" s="326"/>
      <c r="Y197" s="327"/>
      <c r="Z197" s="328"/>
      <c r="AA197" s="327"/>
      <c r="AB197" s="327"/>
    </row>
    <row r="198" spans="1:28" s="2" customFormat="1" ht="13.5" customHeight="1" x14ac:dyDescent="0.2">
      <c r="A198" s="212"/>
      <c r="B198" s="347"/>
      <c r="C198" s="347"/>
      <c r="D198" s="399"/>
      <c r="E198" s="337"/>
      <c r="F198" s="337"/>
      <c r="G198" s="97"/>
      <c r="H198" s="97"/>
      <c r="I198" s="338"/>
      <c r="J198" s="320"/>
      <c r="K198" s="271"/>
      <c r="L198" s="68"/>
      <c r="M198" s="69"/>
      <c r="N198" s="442"/>
      <c r="O198" s="442"/>
      <c r="P198" s="442"/>
      <c r="Q198" s="68"/>
      <c r="R198" s="216"/>
      <c r="S198" s="442"/>
      <c r="T198" s="442"/>
      <c r="U198" s="68"/>
      <c r="V198" s="442"/>
      <c r="W198" s="491"/>
      <c r="X198" s="215"/>
      <c r="Y198" s="216"/>
      <c r="Z198" s="541"/>
      <c r="AA198" s="442"/>
      <c r="AB198" s="442"/>
    </row>
    <row r="199" spans="1:28" s="100" customFormat="1" ht="15.75" customHeight="1" x14ac:dyDescent="0.2">
      <c r="A199" s="401" t="s">
        <v>319</v>
      </c>
      <c r="B199" s="109">
        <v>331</v>
      </c>
      <c r="C199" s="109"/>
      <c r="D199" s="108"/>
      <c r="E199" s="385"/>
      <c r="F199" s="385"/>
      <c r="G199" s="66"/>
      <c r="H199" s="66"/>
      <c r="I199" s="385"/>
      <c r="J199" s="386"/>
      <c r="K199" s="409"/>
      <c r="L199" s="98" t="e">
        <f>L200+L336+L401++#REF!+L442+L457+L483+L324</f>
        <v>#REF!</v>
      </c>
      <c r="M199" s="99" t="e">
        <f>M200+M336+M401++#REF!+M442+M457+M483+M324</f>
        <v>#REF!</v>
      </c>
      <c r="N199" s="426">
        <f t="shared" ref="N199:O199" si="79">N200+N336+N401+N442+N457+N483+N415+N319+N327</f>
        <v>319244539.10000002</v>
      </c>
      <c r="O199" s="426">
        <f t="shared" si="79"/>
        <v>197932662.13</v>
      </c>
      <c r="P199" s="426">
        <f>P200+P336+P401+P442+P457+P483+P415+P319+P327+P517</f>
        <v>562808956.25</v>
      </c>
      <c r="Q199" s="426">
        <f t="shared" ref="Q199:AB199" si="80">Q200+Q336+Q401+Q442+Q457+Q483+Q415+Q319+Q327+Q517</f>
        <v>619698181.90999997</v>
      </c>
      <c r="R199" s="426">
        <f t="shared" si="80"/>
        <v>74211563.489999995</v>
      </c>
      <c r="S199" s="426">
        <f t="shared" si="80"/>
        <v>26266676.290000003</v>
      </c>
      <c r="T199" s="426">
        <f t="shared" si="80"/>
        <v>589075632.54000008</v>
      </c>
      <c r="U199" s="480">
        <f t="shared" si="80"/>
        <v>431675017.83999991</v>
      </c>
      <c r="V199" s="426">
        <f t="shared" si="80"/>
        <v>554950442.52999997</v>
      </c>
      <c r="W199" s="426">
        <f t="shared" si="80"/>
        <v>6461862.0300000003</v>
      </c>
      <c r="X199" s="472">
        <f t="shared" si="80"/>
        <v>16400721.460000001</v>
      </c>
      <c r="Y199" s="426">
        <f t="shared" si="80"/>
        <v>448075739.29999995</v>
      </c>
      <c r="Z199" s="480">
        <f t="shared" si="80"/>
        <v>352148141.79000002</v>
      </c>
      <c r="AA199" s="426">
        <f t="shared" si="80"/>
        <v>12006125.960000001</v>
      </c>
      <c r="AB199" s="426">
        <f t="shared" si="80"/>
        <v>364154267.75</v>
      </c>
    </row>
    <row r="200" spans="1:28" x14ac:dyDescent="0.2">
      <c r="A200" s="400" t="s">
        <v>84</v>
      </c>
      <c r="B200" s="58" t="s">
        <v>109</v>
      </c>
      <c r="C200" s="77" t="s">
        <v>69</v>
      </c>
      <c r="D200" s="78"/>
      <c r="E200" s="79"/>
      <c r="F200" s="79"/>
      <c r="G200" s="66"/>
      <c r="H200" s="66"/>
      <c r="I200" s="79"/>
      <c r="J200" s="80"/>
      <c r="K200" s="291"/>
      <c r="L200" s="101" t="e">
        <f t="shared" ref="L200:Z200" si="81">L201+L206+L247+L242</f>
        <v>#REF!</v>
      </c>
      <c r="M200" s="102" t="e">
        <f t="shared" si="81"/>
        <v>#REF!</v>
      </c>
      <c r="N200" s="248">
        <f t="shared" si="81"/>
        <v>150146802.76000002</v>
      </c>
      <c r="O200" s="248">
        <f t="shared" si="81"/>
        <v>640955.68000000005</v>
      </c>
      <c r="P200" s="248">
        <f t="shared" si="81"/>
        <v>149135974.66999999</v>
      </c>
      <c r="Q200" s="101">
        <f t="shared" si="81"/>
        <v>151821873.76000002</v>
      </c>
      <c r="R200" s="248">
        <f t="shared" si="81"/>
        <v>641208.21</v>
      </c>
      <c r="S200" s="248">
        <f>S201+S206+S247+S242</f>
        <v>243596.92999999993</v>
      </c>
      <c r="T200" s="248">
        <f>T201+T206+T247+T242</f>
        <v>149379571.59999999</v>
      </c>
      <c r="U200" s="101">
        <f t="shared" si="81"/>
        <v>146937286.92000002</v>
      </c>
      <c r="V200" s="248">
        <f t="shared" si="81"/>
        <v>151073531.83000001</v>
      </c>
      <c r="W200" s="473">
        <f t="shared" si="81"/>
        <v>1234416.5899999999</v>
      </c>
      <c r="X200" s="473">
        <f>X201+X206+X247+X242</f>
        <v>5108475.05</v>
      </c>
      <c r="Y200" s="248">
        <f>Y201+Y206+Y247+Y242</f>
        <v>152045761.97</v>
      </c>
      <c r="Z200" s="249">
        <f t="shared" si="81"/>
        <v>147234201.89000005</v>
      </c>
      <c r="AA200" s="248">
        <f>AA201+AA206+AA247+AA242</f>
        <v>2603475.0499999998</v>
      </c>
      <c r="AB200" s="248">
        <f>AB201+AB206+AB247+AB242</f>
        <v>149837676.94</v>
      </c>
    </row>
    <row r="201" spans="1:28" ht="25.5" x14ac:dyDescent="0.2">
      <c r="A201" s="207" t="s">
        <v>103</v>
      </c>
      <c r="B201" s="411">
        <v>331</v>
      </c>
      <c r="C201" s="77" t="s">
        <v>69</v>
      </c>
      <c r="D201" s="78" t="s">
        <v>76</v>
      </c>
      <c r="E201" s="79"/>
      <c r="F201" s="79"/>
      <c r="G201" s="66"/>
      <c r="H201" s="66"/>
      <c r="I201" s="79"/>
      <c r="J201" s="80"/>
      <c r="K201" s="291"/>
      <c r="L201" s="64">
        <f>L202</f>
        <v>4160910</v>
      </c>
      <c r="M201" s="65">
        <f>M202</f>
        <v>0</v>
      </c>
      <c r="N201" s="224">
        <f>N202</f>
        <v>4727358.7300000004</v>
      </c>
      <c r="O201" s="224">
        <f>O202</f>
        <v>0</v>
      </c>
      <c r="P201" s="224">
        <f>P202</f>
        <v>4727358.7300000004</v>
      </c>
      <c r="Q201" s="64">
        <f t="shared" ref="Q201:AB204" si="82">Q202</f>
        <v>4727358.7300000004</v>
      </c>
      <c r="R201" s="224">
        <f t="shared" si="82"/>
        <v>0</v>
      </c>
      <c r="S201" s="224">
        <f>S202</f>
        <v>0</v>
      </c>
      <c r="T201" s="224">
        <f>T202</f>
        <v>4727358.7300000004</v>
      </c>
      <c r="U201" s="64">
        <f t="shared" si="82"/>
        <v>4727358.7300000004</v>
      </c>
      <c r="V201" s="224">
        <f t="shared" si="82"/>
        <v>4727358.7300000004</v>
      </c>
      <c r="W201" s="223">
        <f t="shared" si="82"/>
        <v>0</v>
      </c>
      <c r="X201" s="223">
        <f t="shared" si="82"/>
        <v>0</v>
      </c>
      <c r="Y201" s="224">
        <f t="shared" si="82"/>
        <v>4727358.7300000004</v>
      </c>
      <c r="Z201" s="225">
        <f t="shared" si="82"/>
        <v>4727358.7300000004</v>
      </c>
      <c r="AA201" s="224">
        <f t="shared" si="82"/>
        <v>0</v>
      </c>
      <c r="AB201" s="224">
        <f t="shared" si="82"/>
        <v>4727358.7300000004</v>
      </c>
    </row>
    <row r="202" spans="1:28" x14ac:dyDescent="0.2">
      <c r="A202" s="212" t="s">
        <v>368</v>
      </c>
      <c r="B202" s="412">
        <v>331</v>
      </c>
      <c r="C202" s="111" t="s">
        <v>69</v>
      </c>
      <c r="D202" s="110" t="s">
        <v>76</v>
      </c>
      <c r="E202" s="112" t="s">
        <v>2</v>
      </c>
      <c r="F202" s="112" t="s">
        <v>135</v>
      </c>
      <c r="G202" s="113" t="s">
        <v>135</v>
      </c>
      <c r="H202" s="113" t="s">
        <v>135</v>
      </c>
      <c r="I202" s="112" t="s">
        <v>136</v>
      </c>
      <c r="J202" s="114" t="s">
        <v>135</v>
      </c>
      <c r="K202" s="413"/>
      <c r="L202" s="115">
        <f t="shared" ref="L202:M204" si="83">L203</f>
        <v>4160910</v>
      </c>
      <c r="M202" s="116">
        <f t="shared" si="83"/>
        <v>0</v>
      </c>
      <c r="N202" s="343">
        <f t="shared" ref="N202:P204" si="84">N203</f>
        <v>4727358.7300000004</v>
      </c>
      <c r="O202" s="343">
        <f t="shared" si="84"/>
        <v>0</v>
      </c>
      <c r="P202" s="343">
        <f t="shared" si="84"/>
        <v>4727358.7300000004</v>
      </c>
      <c r="Q202" s="115">
        <f t="shared" si="82"/>
        <v>4727358.7300000004</v>
      </c>
      <c r="R202" s="343">
        <f t="shared" si="82"/>
        <v>0</v>
      </c>
      <c r="S202" s="343">
        <f t="shared" si="82"/>
        <v>0</v>
      </c>
      <c r="T202" s="343">
        <f t="shared" si="82"/>
        <v>4727358.7300000004</v>
      </c>
      <c r="U202" s="115">
        <f t="shared" si="82"/>
        <v>4727358.7300000004</v>
      </c>
      <c r="V202" s="343">
        <f t="shared" si="82"/>
        <v>4727358.7300000004</v>
      </c>
      <c r="W202" s="474">
        <f t="shared" si="82"/>
        <v>0</v>
      </c>
      <c r="X202" s="474">
        <f t="shared" si="82"/>
        <v>0</v>
      </c>
      <c r="Y202" s="343">
        <f t="shared" si="82"/>
        <v>4727358.7300000004</v>
      </c>
      <c r="Z202" s="481">
        <f t="shared" si="82"/>
        <v>4727358.7300000004</v>
      </c>
      <c r="AA202" s="343">
        <f t="shared" si="82"/>
        <v>0</v>
      </c>
      <c r="AB202" s="343">
        <f t="shared" si="82"/>
        <v>4727358.7300000004</v>
      </c>
    </row>
    <row r="203" spans="1:28" ht="25.5" x14ac:dyDescent="0.2">
      <c r="A203" s="213" t="s">
        <v>29</v>
      </c>
      <c r="B203" s="412">
        <v>331</v>
      </c>
      <c r="C203" s="111" t="s">
        <v>69</v>
      </c>
      <c r="D203" s="110" t="s">
        <v>76</v>
      </c>
      <c r="E203" s="113" t="s">
        <v>2</v>
      </c>
      <c r="F203" s="113" t="s">
        <v>135</v>
      </c>
      <c r="G203" s="113" t="s">
        <v>135</v>
      </c>
      <c r="H203" s="113" t="s">
        <v>135</v>
      </c>
      <c r="I203" s="113" t="s">
        <v>27</v>
      </c>
      <c r="J203" s="114" t="s">
        <v>135</v>
      </c>
      <c r="K203" s="414"/>
      <c r="L203" s="115">
        <f t="shared" si="83"/>
        <v>4160910</v>
      </c>
      <c r="M203" s="116">
        <f t="shared" si="83"/>
        <v>0</v>
      </c>
      <c r="N203" s="343">
        <f t="shared" si="84"/>
        <v>4727358.7300000004</v>
      </c>
      <c r="O203" s="343">
        <f t="shared" si="84"/>
        <v>0</v>
      </c>
      <c r="P203" s="343">
        <f t="shared" si="84"/>
        <v>4727358.7300000004</v>
      </c>
      <c r="Q203" s="115">
        <f t="shared" si="82"/>
        <v>4727358.7300000004</v>
      </c>
      <c r="R203" s="343">
        <f t="shared" si="82"/>
        <v>0</v>
      </c>
      <c r="S203" s="343">
        <f t="shared" si="82"/>
        <v>0</v>
      </c>
      <c r="T203" s="343">
        <f t="shared" si="82"/>
        <v>4727358.7300000004</v>
      </c>
      <c r="U203" s="115">
        <f t="shared" si="82"/>
        <v>4727358.7300000004</v>
      </c>
      <c r="V203" s="343">
        <f t="shared" si="82"/>
        <v>4727358.7300000004</v>
      </c>
      <c r="W203" s="474">
        <f t="shared" si="82"/>
        <v>0</v>
      </c>
      <c r="X203" s="474">
        <f t="shared" si="82"/>
        <v>0</v>
      </c>
      <c r="Y203" s="343">
        <f t="shared" si="82"/>
        <v>4727358.7300000004</v>
      </c>
      <c r="Z203" s="481">
        <f t="shared" si="82"/>
        <v>4727358.7300000004</v>
      </c>
      <c r="AA203" s="343">
        <f t="shared" si="82"/>
        <v>0</v>
      </c>
      <c r="AB203" s="343">
        <f t="shared" si="82"/>
        <v>4727358.7300000004</v>
      </c>
    </row>
    <row r="204" spans="1:28" ht="51" x14ac:dyDescent="0.2">
      <c r="A204" s="212" t="s">
        <v>67</v>
      </c>
      <c r="B204" s="412">
        <v>331</v>
      </c>
      <c r="C204" s="111" t="s">
        <v>69</v>
      </c>
      <c r="D204" s="110" t="s">
        <v>76</v>
      </c>
      <c r="E204" s="113" t="s">
        <v>2</v>
      </c>
      <c r="F204" s="113" t="s">
        <v>135</v>
      </c>
      <c r="G204" s="113" t="s">
        <v>135</v>
      </c>
      <c r="H204" s="113" t="s">
        <v>135</v>
      </c>
      <c r="I204" s="113" t="s">
        <v>27</v>
      </c>
      <c r="J204" s="114" t="s">
        <v>135</v>
      </c>
      <c r="K204" s="414" t="s">
        <v>60</v>
      </c>
      <c r="L204" s="115">
        <f t="shared" si="83"/>
        <v>4160910</v>
      </c>
      <c r="M204" s="116">
        <f t="shared" si="83"/>
        <v>0</v>
      </c>
      <c r="N204" s="343">
        <f t="shared" si="84"/>
        <v>4727358.7300000004</v>
      </c>
      <c r="O204" s="343">
        <f t="shared" si="84"/>
        <v>0</v>
      </c>
      <c r="P204" s="343">
        <f t="shared" si="84"/>
        <v>4727358.7300000004</v>
      </c>
      <c r="Q204" s="115">
        <f t="shared" si="82"/>
        <v>4727358.7300000004</v>
      </c>
      <c r="R204" s="343">
        <f t="shared" si="82"/>
        <v>0</v>
      </c>
      <c r="S204" s="343">
        <f t="shared" si="82"/>
        <v>0</v>
      </c>
      <c r="T204" s="343">
        <f t="shared" si="82"/>
        <v>4727358.7300000004</v>
      </c>
      <c r="U204" s="115">
        <f t="shared" si="82"/>
        <v>4727358.7300000004</v>
      </c>
      <c r="V204" s="343">
        <f t="shared" si="82"/>
        <v>4727358.7300000004</v>
      </c>
      <c r="W204" s="474">
        <f t="shared" si="82"/>
        <v>0</v>
      </c>
      <c r="X204" s="474">
        <f t="shared" si="82"/>
        <v>0</v>
      </c>
      <c r="Y204" s="343">
        <f t="shared" si="82"/>
        <v>4727358.7300000004</v>
      </c>
      <c r="Z204" s="481">
        <f t="shared" si="82"/>
        <v>4727358.7300000004</v>
      </c>
      <c r="AA204" s="343">
        <f t="shared" si="82"/>
        <v>0</v>
      </c>
      <c r="AB204" s="343">
        <f t="shared" si="82"/>
        <v>4727358.7300000004</v>
      </c>
    </row>
    <row r="205" spans="1:28" ht="25.5" x14ac:dyDescent="0.2">
      <c r="A205" s="212" t="s">
        <v>61</v>
      </c>
      <c r="B205" s="412">
        <v>331</v>
      </c>
      <c r="C205" s="111" t="s">
        <v>69</v>
      </c>
      <c r="D205" s="110" t="s">
        <v>76</v>
      </c>
      <c r="E205" s="113" t="s">
        <v>2</v>
      </c>
      <c r="F205" s="113" t="s">
        <v>135</v>
      </c>
      <c r="G205" s="113" t="s">
        <v>135</v>
      </c>
      <c r="H205" s="113" t="s">
        <v>135</v>
      </c>
      <c r="I205" s="113" t="s">
        <v>27</v>
      </c>
      <c r="J205" s="114" t="s">
        <v>135</v>
      </c>
      <c r="K205" s="414">
        <v>120</v>
      </c>
      <c r="L205" s="115">
        <v>4160910</v>
      </c>
      <c r="M205" s="116">
        <v>0</v>
      </c>
      <c r="N205" s="343">
        <f>4627358.73+100000</f>
        <v>4727358.7300000004</v>
      </c>
      <c r="O205" s="343">
        <v>0</v>
      </c>
      <c r="P205" s="343">
        <f>4627358.73+100000</f>
        <v>4727358.7300000004</v>
      </c>
      <c r="Q205" s="474">
        <f>4627358.73+100000</f>
        <v>4727358.7300000004</v>
      </c>
      <c r="R205" s="343">
        <v>0</v>
      </c>
      <c r="S205" s="343">
        <v>0</v>
      </c>
      <c r="T205" s="343">
        <f>4627358.73+100000</f>
        <v>4727358.7300000004</v>
      </c>
      <c r="U205" s="481">
        <f>4627358.73+100000</f>
        <v>4727358.7300000004</v>
      </c>
      <c r="V205" s="343">
        <f>4627358.73+100000</f>
        <v>4727358.7300000004</v>
      </c>
      <c r="W205" s="474">
        <v>0</v>
      </c>
      <c r="X205" s="474">
        <v>0</v>
      </c>
      <c r="Y205" s="343">
        <f>4627358.73+100000</f>
        <v>4727358.7300000004</v>
      </c>
      <c r="Z205" s="481">
        <f>4627358.73+100000</f>
        <v>4727358.7300000004</v>
      </c>
      <c r="AA205" s="343">
        <v>0</v>
      </c>
      <c r="AB205" s="343">
        <f>4627358.73+100000</f>
        <v>4727358.7300000004</v>
      </c>
    </row>
    <row r="206" spans="1:28" ht="39.75" customHeight="1" x14ac:dyDescent="0.2">
      <c r="A206" s="207" t="s">
        <v>125</v>
      </c>
      <c r="B206" s="58" t="s">
        <v>109</v>
      </c>
      <c r="C206" s="77" t="s">
        <v>69</v>
      </c>
      <c r="D206" s="78" t="s">
        <v>71</v>
      </c>
      <c r="E206" s="66"/>
      <c r="F206" s="66"/>
      <c r="G206" s="66"/>
      <c r="H206" s="66"/>
      <c r="I206" s="66"/>
      <c r="J206" s="67"/>
      <c r="K206" s="309"/>
      <c r="L206" s="68" t="e">
        <f t="shared" ref="L206:Z206" si="85">L211+L207</f>
        <v>#REF!</v>
      </c>
      <c r="M206" s="69" t="e">
        <f t="shared" si="85"/>
        <v>#REF!</v>
      </c>
      <c r="N206" s="216">
        <f t="shared" si="85"/>
        <v>99169982.520000011</v>
      </c>
      <c r="O206" s="216">
        <f t="shared" si="85"/>
        <v>638353.25</v>
      </c>
      <c r="P206" s="216">
        <f t="shared" si="85"/>
        <v>97381478.599999994</v>
      </c>
      <c r="Q206" s="68">
        <f t="shared" si="85"/>
        <v>99184497.300000012</v>
      </c>
      <c r="R206" s="216">
        <f t="shared" si="85"/>
        <v>638353.25</v>
      </c>
      <c r="S206" s="216">
        <f>S211+S207</f>
        <v>-197303.40999999992</v>
      </c>
      <c r="T206" s="216">
        <f>T211+T207</f>
        <v>97184175.189999998</v>
      </c>
      <c r="U206" s="68">
        <f t="shared" si="85"/>
        <v>99801850.550000012</v>
      </c>
      <c r="V206" s="216">
        <f t="shared" si="85"/>
        <v>99345621.280000016</v>
      </c>
      <c r="W206" s="215">
        <f t="shared" si="85"/>
        <v>638353.25</v>
      </c>
      <c r="X206" s="215">
        <f>X211+X207</f>
        <v>0</v>
      </c>
      <c r="Y206" s="216">
        <f>Y211+Y207</f>
        <v>99801850.549999997</v>
      </c>
      <c r="Z206" s="217">
        <f t="shared" si="85"/>
        <v>99962974.530000016</v>
      </c>
      <c r="AA206" s="216">
        <f>AA211+AA207</f>
        <v>0</v>
      </c>
      <c r="AB206" s="216">
        <f>AB211+AB207</f>
        <v>99962974.530000001</v>
      </c>
    </row>
    <row r="207" spans="1:28" ht="36.75" customHeight="1" x14ac:dyDescent="0.2">
      <c r="A207" s="207" t="s">
        <v>394</v>
      </c>
      <c r="B207" s="58" t="s">
        <v>109</v>
      </c>
      <c r="C207" s="77" t="s">
        <v>69</v>
      </c>
      <c r="D207" s="78" t="s">
        <v>71</v>
      </c>
      <c r="E207" s="66" t="s">
        <v>194</v>
      </c>
      <c r="F207" s="66" t="s">
        <v>135</v>
      </c>
      <c r="G207" s="66" t="s">
        <v>135</v>
      </c>
      <c r="H207" s="66" t="s">
        <v>135</v>
      </c>
      <c r="I207" s="66" t="s">
        <v>136</v>
      </c>
      <c r="J207" s="67" t="s">
        <v>135</v>
      </c>
      <c r="K207" s="309"/>
      <c r="L207" s="68">
        <f t="shared" ref="L207:P209" si="86">L208</f>
        <v>35000</v>
      </c>
      <c r="M207" s="69">
        <f t="shared" si="86"/>
        <v>0</v>
      </c>
      <c r="N207" s="216">
        <f t="shared" si="86"/>
        <v>35000</v>
      </c>
      <c r="O207" s="216">
        <f t="shared" si="86"/>
        <v>0</v>
      </c>
      <c r="P207" s="216">
        <f t="shared" si="86"/>
        <v>35000</v>
      </c>
      <c r="Q207" s="68">
        <f t="shared" ref="Q207:AB209" si="87">Q208</f>
        <v>35000</v>
      </c>
      <c r="R207" s="216">
        <f t="shared" si="87"/>
        <v>0</v>
      </c>
      <c r="S207" s="216">
        <f t="shared" si="87"/>
        <v>0</v>
      </c>
      <c r="T207" s="216">
        <f t="shared" si="87"/>
        <v>35000</v>
      </c>
      <c r="U207" s="68">
        <f t="shared" si="87"/>
        <v>35000</v>
      </c>
      <c r="V207" s="216">
        <f t="shared" si="87"/>
        <v>35000</v>
      </c>
      <c r="W207" s="215">
        <f t="shared" si="87"/>
        <v>0</v>
      </c>
      <c r="X207" s="215">
        <f t="shared" si="87"/>
        <v>0</v>
      </c>
      <c r="Y207" s="216">
        <f t="shared" si="87"/>
        <v>35000</v>
      </c>
      <c r="Z207" s="217">
        <f t="shared" si="87"/>
        <v>35000</v>
      </c>
      <c r="AA207" s="216">
        <f t="shared" si="87"/>
        <v>0</v>
      </c>
      <c r="AB207" s="216">
        <f t="shared" si="87"/>
        <v>35000</v>
      </c>
    </row>
    <row r="208" spans="1:28" ht="58.5" customHeight="1" x14ac:dyDescent="0.2">
      <c r="A208" s="212" t="s">
        <v>282</v>
      </c>
      <c r="B208" s="58" t="s">
        <v>109</v>
      </c>
      <c r="C208" s="77" t="s">
        <v>69</v>
      </c>
      <c r="D208" s="78" t="s">
        <v>71</v>
      </c>
      <c r="E208" s="66" t="s">
        <v>194</v>
      </c>
      <c r="F208" s="66" t="s">
        <v>135</v>
      </c>
      <c r="G208" s="66" t="s">
        <v>135</v>
      </c>
      <c r="H208" s="66" t="s">
        <v>135</v>
      </c>
      <c r="I208" s="66" t="s">
        <v>281</v>
      </c>
      <c r="J208" s="67" t="s">
        <v>135</v>
      </c>
      <c r="K208" s="309"/>
      <c r="L208" s="68">
        <f t="shared" si="86"/>
        <v>35000</v>
      </c>
      <c r="M208" s="69">
        <f t="shared" si="86"/>
        <v>0</v>
      </c>
      <c r="N208" s="216">
        <f t="shared" si="86"/>
        <v>35000</v>
      </c>
      <c r="O208" s="216">
        <f t="shared" si="86"/>
        <v>0</v>
      </c>
      <c r="P208" s="216">
        <f t="shared" si="86"/>
        <v>35000</v>
      </c>
      <c r="Q208" s="68">
        <f t="shared" si="87"/>
        <v>35000</v>
      </c>
      <c r="R208" s="216">
        <f t="shared" si="87"/>
        <v>0</v>
      </c>
      <c r="S208" s="216">
        <f t="shared" si="87"/>
        <v>0</v>
      </c>
      <c r="T208" s="216">
        <f t="shared" si="87"/>
        <v>35000</v>
      </c>
      <c r="U208" s="68">
        <f t="shared" si="87"/>
        <v>35000</v>
      </c>
      <c r="V208" s="216">
        <f t="shared" si="87"/>
        <v>35000</v>
      </c>
      <c r="W208" s="215">
        <f t="shared" si="87"/>
        <v>0</v>
      </c>
      <c r="X208" s="215">
        <f t="shared" si="87"/>
        <v>0</v>
      </c>
      <c r="Y208" s="216">
        <f t="shared" si="87"/>
        <v>35000</v>
      </c>
      <c r="Z208" s="217">
        <f t="shared" si="87"/>
        <v>35000</v>
      </c>
      <c r="AA208" s="216">
        <f t="shared" si="87"/>
        <v>0</v>
      </c>
      <c r="AB208" s="216">
        <f t="shared" si="87"/>
        <v>35000</v>
      </c>
    </row>
    <row r="209" spans="1:28" ht="29.25" customHeight="1" x14ac:dyDescent="0.2">
      <c r="A209" s="212" t="s">
        <v>52</v>
      </c>
      <c r="B209" s="58" t="s">
        <v>109</v>
      </c>
      <c r="C209" s="77" t="s">
        <v>69</v>
      </c>
      <c r="D209" s="78" t="s">
        <v>71</v>
      </c>
      <c r="E209" s="66" t="s">
        <v>194</v>
      </c>
      <c r="F209" s="66" t="s">
        <v>135</v>
      </c>
      <c r="G209" s="66" t="s">
        <v>135</v>
      </c>
      <c r="H209" s="66" t="s">
        <v>135</v>
      </c>
      <c r="I209" s="66" t="s">
        <v>281</v>
      </c>
      <c r="J209" s="67" t="s">
        <v>135</v>
      </c>
      <c r="K209" s="309">
        <v>200</v>
      </c>
      <c r="L209" s="68">
        <f t="shared" si="86"/>
        <v>35000</v>
      </c>
      <c r="M209" s="69">
        <f t="shared" si="86"/>
        <v>0</v>
      </c>
      <c r="N209" s="216">
        <f t="shared" si="86"/>
        <v>35000</v>
      </c>
      <c r="O209" s="216">
        <f t="shared" si="86"/>
        <v>0</v>
      </c>
      <c r="P209" s="216">
        <f t="shared" si="86"/>
        <v>35000</v>
      </c>
      <c r="Q209" s="68">
        <f t="shared" si="87"/>
        <v>35000</v>
      </c>
      <c r="R209" s="216">
        <f t="shared" si="87"/>
        <v>0</v>
      </c>
      <c r="S209" s="216">
        <f t="shared" si="87"/>
        <v>0</v>
      </c>
      <c r="T209" s="216">
        <f t="shared" si="87"/>
        <v>35000</v>
      </c>
      <c r="U209" s="68">
        <f t="shared" si="87"/>
        <v>35000</v>
      </c>
      <c r="V209" s="216">
        <f t="shared" si="87"/>
        <v>35000</v>
      </c>
      <c r="W209" s="215">
        <f t="shared" si="87"/>
        <v>0</v>
      </c>
      <c r="X209" s="215">
        <f t="shared" si="87"/>
        <v>0</v>
      </c>
      <c r="Y209" s="216">
        <f t="shared" si="87"/>
        <v>35000</v>
      </c>
      <c r="Z209" s="217">
        <f t="shared" si="87"/>
        <v>35000</v>
      </c>
      <c r="AA209" s="216">
        <f t="shared" si="87"/>
        <v>0</v>
      </c>
      <c r="AB209" s="216">
        <f t="shared" si="87"/>
        <v>35000</v>
      </c>
    </row>
    <row r="210" spans="1:28" ht="39.75" customHeight="1" x14ac:dyDescent="0.2">
      <c r="A210" s="212" t="s">
        <v>54</v>
      </c>
      <c r="B210" s="58" t="s">
        <v>109</v>
      </c>
      <c r="C210" s="77" t="s">
        <v>69</v>
      </c>
      <c r="D210" s="78" t="s">
        <v>71</v>
      </c>
      <c r="E210" s="66" t="s">
        <v>194</v>
      </c>
      <c r="F210" s="66" t="s">
        <v>135</v>
      </c>
      <c r="G210" s="66" t="s">
        <v>135</v>
      </c>
      <c r="H210" s="66" t="s">
        <v>135</v>
      </c>
      <c r="I210" s="66" t="s">
        <v>281</v>
      </c>
      <c r="J210" s="67" t="s">
        <v>135</v>
      </c>
      <c r="K210" s="309">
        <v>240</v>
      </c>
      <c r="L210" s="68">
        <v>35000</v>
      </c>
      <c r="M210" s="69">
        <v>0</v>
      </c>
      <c r="N210" s="216">
        <v>35000</v>
      </c>
      <c r="O210" s="216">
        <v>0</v>
      </c>
      <c r="P210" s="216">
        <v>35000</v>
      </c>
      <c r="Q210" s="68">
        <v>35000</v>
      </c>
      <c r="R210" s="216">
        <v>0</v>
      </c>
      <c r="S210" s="216">
        <v>0</v>
      </c>
      <c r="T210" s="216">
        <v>35000</v>
      </c>
      <c r="U210" s="68">
        <v>35000</v>
      </c>
      <c r="V210" s="216">
        <v>35000</v>
      </c>
      <c r="W210" s="215">
        <v>0</v>
      </c>
      <c r="X210" s="215">
        <v>0</v>
      </c>
      <c r="Y210" s="216">
        <v>35000</v>
      </c>
      <c r="Z210" s="217">
        <v>35000</v>
      </c>
      <c r="AA210" s="216">
        <v>0</v>
      </c>
      <c r="AB210" s="216">
        <v>35000</v>
      </c>
    </row>
    <row r="211" spans="1:28" ht="25.5" x14ac:dyDescent="0.2">
      <c r="A211" s="212" t="s">
        <v>31</v>
      </c>
      <c r="B211" s="58" t="s">
        <v>109</v>
      </c>
      <c r="C211" s="77" t="s">
        <v>69</v>
      </c>
      <c r="D211" s="78" t="s">
        <v>71</v>
      </c>
      <c r="E211" s="72" t="s">
        <v>5</v>
      </c>
      <c r="F211" s="72" t="s">
        <v>135</v>
      </c>
      <c r="G211" s="66" t="s">
        <v>135</v>
      </c>
      <c r="H211" s="66" t="s">
        <v>135</v>
      </c>
      <c r="I211" s="72" t="s">
        <v>136</v>
      </c>
      <c r="J211" s="67" t="s">
        <v>135</v>
      </c>
      <c r="K211" s="415"/>
      <c r="L211" s="68" t="e">
        <f>#REF!+#REF!+L212+#REF!+#REF!</f>
        <v>#REF!</v>
      </c>
      <c r="M211" s="69" t="e">
        <f>#REF!+#REF!+M212+#REF!+#REF!</f>
        <v>#REF!</v>
      </c>
      <c r="N211" s="216">
        <f t="shared" ref="N211:O211" si="88">N212+N227+N232+N222+N237</f>
        <v>99134982.520000011</v>
      </c>
      <c r="O211" s="216">
        <f t="shared" si="88"/>
        <v>638353.25</v>
      </c>
      <c r="P211" s="216">
        <f>P212+P227+P232+P222+P237+P219</f>
        <v>97346478.599999994</v>
      </c>
      <c r="Q211" s="216">
        <f t="shared" ref="Q211:AB211" si="89">Q212+Q227+Q232+Q222+Q237+Q219</f>
        <v>99149497.300000012</v>
      </c>
      <c r="R211" s="216">
        <f t="shared" si="89"/>
        <v>638353.25</v>
      </c>
      <c r="S211" s="216">
        <f t="shared" si="89"/>
        <v>-197303.40999999992</v>
      </c>
      <c r="T211" s="216">
        <f t="shared" si="89"/>
        <v>97149175.189999998</v>
      </c>
      <c r="U211" s="217">
        <f t="shared" si="89"/>
        <v>99766850.550000012</v>
      </c>
      <c r="V211" s="216">
        <f t="shared" si="89"/>
        <v>99310621.280000016</v>
      </c>
      <c r="W211" s="216">
        <f t="shared" si="89"/>
        <v>638353.25</v>
      </c>
      <c r="X211" s="215">
        <f t="shared" si="89"/>
        <v>0</v>
      </c>
      <c r="Y211" s="216">
        <f>Y212+Y227+Y232+Y222+Y237+Y219</f>
        <v>99766850.549999997</v>
      </c>
      <c r="Z211" s="217">
        <f t="shared" si="89"/>
        <v>99927974.530000016</v>
      </c>
      <c r="AA211" s="216">
        <f t="shared" si="89"/>
        <v>0</v>
      </c>
      <c r="AB211" s="216">
        <f t="shared" si="89"/>
        <v>99927974.530000001</v>
      </c>
    </row>
    <row r="212" spans="1:28" ht="25.5" x14ac:dyDescent="0.2">
      <c r="A212" s="213" t="s">
        <v>29</v>
      </c>
      <c r="B212" s="58" t="s">
        <v>109</v>
      </c>
      <c r="C212" s="77" t="s">
        <v>69</v>
      </c>
      <c r="D212" s="78" t="s">
        <v>71</v>
      </c>
      <c r="E212" s="66" t="s">
        <v>5</v>
      </c>
      <c r="F212" s="66" t="s">
        <v>135</v>
      </c>
      <c r="G212" s="66" t="s">
        <v>135</v>
      </c>
      <c r="H212" s="66" t="s">
        <v>135</v>
      </c>
      <c r="I212" s="66" t="s">
        <v>27</v>
      </c>
      <c r="J212" s="67" t="s">
        <v>135</v>
      </c>
      <c r="K212" s="309"/>
      <c r="L212" s="68">
        <f t="shared" ref="L212:O212" si="90">L213+L215</f>
        <v>40542700</v>
      </c>
      <c r="M212" s="69">
        <f t="shared" si="90"/>
        <v>0</v>
      </c>
      <c r="N212" s="216">
        <f t="shared" si="90"/>
        <v>94515730.000000015</v>
      </c>
      <c r="O212" s="216">
        <f t="shared" si="90"/>
        <v>638353.25</v>
      </c>
      <c r="P212" s="216">
        <f>P213+P215+P217</f>
        <v>92727226.079999998</v>
      </c>
      <c r="Q212" s="216">
        <f t="shared" ref="Q212:AB212" si="91">Q213+Q215+Q217</f>
        <v>94515730.000000015</v>
      </c>
      <c r="R212" s="216">
        <f t="shared" si="91"/>
        <v>638353.25</v>
      </c>
      <c r="S212" s="216">
        <f t="shared" si="91"/>
        <v>-228983.40999999992</v>
      </c>
      <c r="T212" s="216">
        <f t="shared" si="91"/>
        <v>92498242.670000002</v>
      </c>
      <c r="U212" s="217">
        <f t="shared" si="91"/>
        <v>95154083.250000015</v>
      </c>
      <c r="V212" s="216">
        <f t="shared" si="91"/>
        <v>94515730.000000015</v>
      </c>
      <c r="W212" s="216">
        <f t="shared" si="91"/>
        <v>638353.25</v>
      </c>
      <c r="X212" s="215">
        <f t="shared" si="91"/>
        <v>0</v>
      </c>
      <c r="Y212" s="216">
        <f t="shared" si="91"/>
        <v>95154083.25</v>
      </c>
      <c r="Z212" s="217">
        <f t="shared" si="91"/>
        <v>95154083.250000015</v>
      </c>
      <c r="AA212" s="216">
        <f t="shared" si="91"/>
        <v>0</v>
      </c>
      <c r="AB212" s="216">
        <f t="shared" si="91"/>
        <v>95154083.25</v>
      </c>
    </row>
    <row r="213" spans="1:28" ht="51" x14ac:dyDescent="0.2">
      <c r="A213" s="212" t="s">
        <v>67</v>
      </c>
      <c r="B213" s="58" t="s">
        <v>109</v>
      </c>
      <c r="C213" s="77" t="s">
        <v>69</v>
      </c>
      <c r="D213" s="78" t="s">
        <v>71</v>
      </c>
      <c r="E213" s="66" t="s">
        <v>5</v>
      </c>
      <c r="F213" s="66" t="s">
        <v>135</v>
      </c>
      <c r="G213" s="66" t="s">
        <v>135</v>
      </c>
      <c r="H213" s="66" t="s">
        <v>135</v>
      </c>
      <c r="I213" s="66" t="s">
        <v>27</v>
      </c>
      <c r="J213" s="67" t="s">
        <v>135</v>
      </c>
      <c r="K213" s="309">
        <v>100</v>
      </c>
      <c r="L213" s="68">
        <f t="shared" ref="L213:AB213" si="92">L214</f>
        <v>38788800</v>
      </c>
      <c r="M213" s="69">
        <f t="shared" si="92"/>
        <v>0</v>
      </c>
      <c r="N213" s="216">
        <f t="shared" si="92"/>
        <v>91285227.830000013</v>
      </c>
      <c r="O213" s="216">
        <f t="shared" si="92"/>
        <v>376153.25</v>
      </c>
      <c r="P213" s="216">
        <f t="shared" si="92"/>
        <v>89234523.909999996</v>
      </c>
      <c r="Q213" s="68">
        <f t="shared" si="92"/>
        <v>91285227.830000013</v>
      </c>
      <c r="R213" s="216">
        <f t="shared" si="92"/>
        <v>376153.25</v>
      </c>
      <c r="S213" s="216">
        <f t="shared" si="92"/>
        <v>-31680</v>
      </c>
      <c r="T213" s="216">
        <f t="shared" si="92"/>
        <v>89202843.909999996</v>
      </c>
      <c r="U213" s="68">
        <f t="shared" si="92"/>
        <v>91661381.080000013</v>
      </c>
      <c r="V213" s="216">
        <f t="shared" si="92"/>
        <v>91285227.830000013</v>
      </c>
      <c r="W213" s="215">
        <f t="shared" si="92"/>
        <v>376153.25</v>
      </c>
      <c r="X213" s="215">
        <f t="shared" si="92"/>
        <v>0</v>
      </c>
      <c r="Y213" s="216">
        <f t="shared" si="92"/>
        <v>91661381.079999998</v>
      </c>
      <c r="Z213" s="217">
        <f t="shared" si="92"/>
        <v>91661381.080000013</v>
      </c>
      <c r="AA213" s="216">
        <f t="shared" si="92"/>
        <v>0</v>
      </c>
      <c r="AB213" s="216">
        <f t="shared" si="92"/>
        <v>91661381.079999998</v>
      </c>
    </row>
    <row r="214" spans="1:28" ht="25.5" x14ac:dyDescent="0.2">
      <c r="A214" s="212" t="s">
        <v>61</v>
      </c>
      <c r="B214" s="58" t="s">
        <v>109</v>
      </c>
      <c r="C214" s="77" t="s">
        <v>69</v>
      </c>
      <c r="D214" s="78" t="s">
        <v>71</v>
      </c>
      <c r="E214" s="66" t="s">
        <v>5</v>
      </c>
      <c r="F214" s="66" t="s">
        <v>135</v>
      </c>
      <c r="G214" s="66" t="s">
        <v>135</v>
      </c>
      <c r="H214" s="66" t="s">
        <v>135</v>
      </c>
      <c r="I214" s="66" t="s">
        <v>27</v>
      </c>
      <c r="J214" s="67" t="s">
        <v>135</v>
      </c>
      <c r="K214" s="309">
        <v>120</v>
      </c>
      <c r="L214" s="118">
        <v>38788800</v>
      </c>
      <c r="M214" s="119">
        <v>0</v>
      </c>
      <c r="N214" s="210">
        <f>69781280.98+430000+21073946.85</f>
        <v>91285227.830000013</v>
      </c>
      <c r="O214" s="210">
        <f>4440314.74+4440314.74-12104187.65+3599711.42</f>
        <v>376153.25</v>
      </c>
      <c r="P214" s="210">
        <v>89234523.909999996</v>
      </c>
      <c r="Q214" s="209">
        <f>69781280.98+430000+21073946.85</f>
        <v>91285227.830000013</v>
      </c>
      <c r="R214" s="210">
        <f>4440314.74+4440314.74-12104187.65+3599711.42</f>
        <v>376153.25</v>
      </c>
      <c r="S214" s="210">
        <f>-31680-100000+100000</f>
        <v>-31680</v>
      </c>
      <c r="T214" s="210">
        <f>S214+P214</f>
        <v>89202843.909999996</v>
      </c>
      <c r="U214" s="211">
        <f>R214+Q214</f>
        <v>91661381.080000013</v>
      </c>
      <c r="V214" s="210">
        <f>69781280.98+430000+21073946.85</f>
        <v>91285227.830000013</v>
      </c>
      <c r="W214" s="209">
        <f>4440314.74+4440314.74-12104187.65+3599711.42</f>
        <v>376153.25</v>
      </c>
      <c r="X214" s="209">
        <v>0</v>
      </c>
      <c r="Y214" s="210">
        <v>91661381.079999998</v>
      </c>
      <c r="Z214" s="211">
        <f>W214+V214</f>
        <v>91661381.080000013</v>
      </c>
      <c r="AA214" s="210">
        <v>0</v>
      </c>
      <c r="AB214" s="210">
        <f>Y214+X214</f>
        <v>91661381.079999998</v>
      </c>
    </row>
    <row r="215" spans="1:28" ht="25.5" x14ac:dyDescent="0.2">
      <c r="A215" s="212" t="s">
        <v>52</v>
      </c>
      <c r="B215" s="58" t="s">
        <v>109</v>
      </c>
      <c r="C215" s="77" t="s">
        <v>69</v>
      </c>
      <c r="D215" s="78" t="s">
        <v>71</v>
      </c>
      <c r="E215" s="66" t="s">
        <v>5</v>
      </c>
      <c r="F215" s="66" t="s">
        <v>135</v>
      </c>
      <c r="G215" s="66" t="s">
        <v>135</v>
      </c>
      <c r="H215" s="66" t="s">
        <v>135</v>
      </c>
      <c r="I215" s="66" t="s">
        <v>27</v>
      </c>
      <c r="J215" s="67" t="s">
        <v>135</v>
      </c>
      <c r="K215" s="309">
        <v>200</v>
      </c>
      <c r="L215" s="118">
        <f t="shared" ref="L215:AB215" si="93">L216</f>
        <v>1753900</v>
      </c>
      <c r="M215" s="119">
        <f t="shared" si="93"/>
        <v>0</v>
      </c>
      <c r="N215" s="210">
        <f t="shared" si="93"/>
        <v>3230502.17</v>
      </c>
      <c r="O215" s="210">
        <f t="shared" si="93"/>
        <v>262200</v>
      </c>
      <c r="P215" s="210">
        <f t="shared" si="93"/>
        <v>3492702.17</v>
      </c>
      <c r="Q215" s="118">
        <f t="shared" si="93"/>
        <v>3230502.17</v>
      </c>
      <c r="R215" s="210">
        <f t="shared" si="93"/>
        <v>262200</v>
      </c>
      <c r="S215" s="210">
        <f t="shared" si="93"/>
        <v>-503303.41</v>
      </c>
      <c r="T215" s="210">
        <f t="shared" si="93"/>
        <v>2989398.76</v>
      </c>
      <c r="U215" s="118">
        <f t="shared" si="93"/>
        <v>3492702.17</v>
      </c>
      <c r="V215" s="210">
        <f t="shared" si="93"/>
        <v>3230502.17</v>
      </c>
      <c r="W215" s="209">
        <f t="shared" si="93"/>
        <v>262200</v>
      </c>
      <c r="X215" s="209">
        <f t="shared" si="93"/>
        <v>0</v>
      </c>
      <c r="Y215" s="210">
        <f t="shared" si="93"/>
        <v>3492702.17</v>
      </c>
      <c r="Z215" s="211">
        <f t="shared" si="93"/>
        <v>3492702.17</v>
      </c>
      <c r="AA215" s="210">
        <f t="shared" si="93"/>
        <v>0</v>
      </c>
      <c r="AB215" s="210">
        <f t="shared" si="93"/>
        <v>3492702.17</v>
      </c>
    </row>
    <row r="216" spans="1:28" ht="25.5" x14ac:dyDescent="0.2">
      <c r="A216" s="212" t="s">
        <v>54</v>
      </c>
      <c r="B216" s="58" t="s">
        <v>109</v>
      </c>
      <c r="C216" s="77" t="s">
        <v>69</v>
      </c>
      <c r="D216" s="78" t="s">
        <v>71</v>
      </c>
      <c r="E216" s="66" t="s">
        <v>5</v>
      </c>
      <c r="F216" s="66" t="s">
        <v>135</v>
      </c>
      <c r="G216" s="66" t="s">
        <v>135</v>
      </c>
      <c r="H216" s="66" t="s">
        <v>135</v>
      </c>
      <c r="I216" s="66" t="s">
        <v>27</v>
      </c>
      <c r="J216" s="67" t="s">
        <v>135</v>
      </c>
      <c r="K216" s="309">
        <v>240</v>
      </c>
      <c r="L216" s="118">
        <f>1753900</f>
        <v>1753900</v>
      </c>
      <c r="M216" s="119">
        <v>0</v>
      </c>
      <c r="N216" s="210">
        <v>3230502.17</v>
      </c>
      <c r="O216" s="210">
        <f>150500+111700</f>
        <v>262200</v>
      </c>
      <c r="P216" s="210">
        <f>O216+N216</f>
        <v>3492702.17</v>
      </c>
      <c r="Q216" s="209">
        <v>3230502.17</v>
      </c>
      <c r="R216" s="210">
        <f>150500+111700</f>
        <v>262200</v>
      </c>
      <c r="S216" s="210">
        <f>-60000-3000-1788-15000-7842.18-112903.23-31000-1770-270000</f>
        <v>-503303.41</v>
      </c>
      <c r="T216" s="210">
        <f>S216+P216</f>
        <v>2989398.76</v>
      </c>
      <c r="U216" s="211">
        <f>R216+Q216</f>
        <v>3492702.17</v>
      </c>
      <c r="V216" s="210">
        <v>3230502.17</v>
      </c>
      <c r="W216" s="209">
        <f>150500+111700</f>
        <v>262200</v>
      </c>
      <c r="X216" s="209">
        <v>0</v>
      </c>
      <c r="Y216" s="210">
        <v>3492702.17</v>
      </c>
      <c r="Z216" s="211">
        <f>W216+V216</f>
        <v>3492702.17</v>
      </c>
      <c r="AA216" s="210">
        <v>0</v>
      </c>
      <c r="AB216" s="210">
        <f>Y216+X216</f>
        <v>3492702.17</v>
      </c>
    </row>
    <row r="217" spans="1:28" x14ac:dyDescent="0.2">
      <c r="A217" s="212" t="s">
        <v>62</v>
      </c>
      <c r="B217" s="58" t="s">
        <v>109</v>
      </c>
      <c r="C217" s="77" t="s">
        <v>69</v>
      </c>
      <c r="D217" s="78" t="s">
        <v>71</v>
      </c>
      <c r="E217" s="66" t="s">
        <v>5</v>
      </c>
      <c r="F217" s="66" t="s">
        <v>135</v>
      </c>
      <c r="G217" s="66" t="s">
        <v>135</v>
      </c>
      <c r="H217" s="66" t="s">
        <v>135</v>
      </c>
      <c r="I217" s="66" t="s">
        <v>27</v>
      </c>
      <c r="J217" s="67" t="s">
        <v>135</v>
      </c>
      <c r="K217" s="309" t="s">
        <v>63</v>
      </c>
      <c r="L217" s="118"/>
      <c r="M217" s="119"/>
      <c r="N217" s="210"/>
      <c r="O217" s="210"/>
      <c r="P217" s="210">
        <f>P218</f>
        <v>0</v>
      </c>
      <c r="Q217" s="118"/>
      <c r="R217" s="210"/>
      <c r="S217" s="210">
        <f>S218</f>
        <v>306000</v>
      </c>
      <c r="T217" s="210">
        <f>T218</f>
        <v>306000</v>
      </c>
      <c r="U217" s="118">
        <f>U218</f>
        <v>0</v>
      </c>
      <c r="V217" s="210"/>
      <c r="W217" s="209"/>
      <c r="X217" s="118">
        <f t="shared" ref="X217:AB217" si="94">X218</f>
        <v>0</v>
      </c>
      <c r="Y217" s="210">
        <f t="shared" si="94"/>
        <v>0</v>
      </c>
      <c r="Z217" s="118">
        <f t="shared" si="94"/>
        <v>0</v>
      </c>
      <c r="AA217" s="118">
        <f t="shared" si="94"/>
        <v>0</v>
      </c>
      <c r="AB217" s="211">
        <f t="shared" si="94"/>
        <v>0</v>
      </c>
    </row>
    <row r="218" spans="1:28" x14ac:dyDescent="0.2">
      <c r="A218" s="362" t="s">
        <v>64</v>
      </c>
      <c r="B218" s="58" t="s">
        <v>109</v>
      </c>
      <c r="C218" s="77" t="s">
        <v>69</v>
      </c>
      <c r="D218" s="78" t="s">
        <v>71</v>
      </c>
      <c r="E218" s="66" t="s">
        <v>5</v>
      </c>
      <c r="F218" s="66" t="s">
        <v>135</v>
      </c>
      <c r="G218" s="66" t="s">
        <v>135</v>
      </c>
      <c r="H218" s="66" t="s">
        <v>135</v>
      </c>
      <c r="I218" s="66" t="s">
        <v>27</v>
      </c>
      <c r="J218" s="67" t="s">
        <v>135</v>
      </c>
      <c r="K218" s="309" t="s">
        <v>65</v>
      </c>
      <c r="L218" s="118"/>
      <c r="M218" s="119"/>
      <c r="N218" s="210"/>
      <c r="O218" s="210"/>
      <c r="P218" s="210">
        <v>0</v>
      </c>
      <c r="Q218" s="118"/>
      <c r="R218" s="210"/>
      <c r="S218" s="210">
        <f>90000+15000+31000+170000</f>
        <v>306000</v>
      </c>
      <c r="T218" s="210">
        <f>S218</f>
        <v>306000</v>
      </c>
      <c r="U218" s="118">
        <v>0</v>
      </c>
      <c r="V218" s="210"/>
      <c r="W218" s="209"/>
      <c r="X218" s="118">
        <v>0</v>
      </c>
      <c r="Y218" s="210">
        <v>0</v>
      </c>
      <c r="Z218" s="118">
        <v>0</v>
      </c>
      <c r="AA218" s="118">
        <v>0</v>
      </c>
      <c r="AB218" s="211">
        <v>0</v>
      </c>
    </row>
    <row r="219" spans="1:28" ht="25.5" x14ac:dyDescent="0.2">
      <c r="A219" s="207" t="s">
        <v>204</v>
      </c>
      <c r="B219" s="58" t="s">
        <v>109</v>
      </c>
      <c r="C219" s="58" t="s">
        <v>69</v>
      </c>
      <c r="D219" s="59" t="s">
        <v>71</v>
      </c>
      <c r="E219" s="66" t="s">
        <v>5</v>
      </c>
      <c r="F219" s="66" t="s">
        <v>135</v>
      </c>
      <c r="G219" s="66" t="s">
        <v>135</v>
      </c>
      <c r="H219" s="66" t="s">
        <v>135</v>
      </c>
      <c r="I219" s="66" t="s">
        <v>203</v>
      </c>
      <c r="J219" s="67" t="s">
        <v>135</v>
      </c>
      <c r="K219" s="309"/>
      <c r="L219" s="68">
        <f t="shared" ref="L219:AB220" si="95">L220</f>
        <v>180000</v>
      </c>
      <c r="M219" s="69">
        <f t="shared" si="95"/>
        <v>0</v>
      </c>
      <c r="N219" s="216">
        <f t="shared" si="95"/>
        <v>0</v>
      </c>
      <c r="O219" s="216">
        <f t="shared" si="95"/>
        <v>0</v>
      </c>
      <c r="P219" s="216">
        <f>P220</f>
        <v>0</v>
      </c>
      <c r="Q219" s="216">
        <f t="shared" ref="Q219:AA219" si="96">Q220+Q222</f>
        <v>21000</v>
      </c>
      <c r="R219" s="216">
        <f t="shared" si="96"/>
        <v>0</v>
      </c>
      <c r="S219" s="216">
        <f t="shared" si="96"/>
        <v>31680</v>
      </c>
      <c r="T219" s="216">
        <f>T220</f>
        <v>31680</v>
      </c>
      <c r="U219" s="217">
        <f>U220</f>
        <v>0</v>
      </c>
      <c r="V219" s="216">
        <f t="shared" si="96"/>
        <v>21000</v>
      </c>
      <c r="W219" s="216">
        <f t="shared" si="96"/>
        <v>0</v>
      </c>
      <c r="X219" s="215">
        <f t="shared" si="96"/>
        <v>0</v>
      </c>
      <c r="Y219" s="216">
        <f>Y220</f>
        <v>0</v>
      </c>
      <c r="Z219" s="217">
        <f>Z220</f>
        <v>0</v>
      </c>
      <c r="AA219" s="216">
        <f t="shared" si="96"/>
        <v>0</v>
      </c>
      <c r="AB219" s="216">
        <f>AB220</f>
        <v>0</v>
      </c>
    </row>
    <row r="220" spans="1:28" ht="51" x14ac:dyDescent="0.2">
      <c r="A220" s="212" t="s">
        <v>67</v>
      </c>
      <c r="B220" s="58" t="s">
        <v>109</v>
      </c>
      <c r="C220" s="58" t="s">
        <v>69</v>
      </c>
      <c r="D220" s="59" t="s">
        <v>71</v>
      </c>
      <c r="E220" s="66" t="s">
        <v>5</v>
      </c>
      <c r="F220" s="66" t="s">
        <v>135</v>
      </c>
      <c r="G220" s="66" t="s">
        <v>135</v>
      </c>
      <c r="H220" s="66" t="s">
        <v>135</v>
      </c>
      <c r="I220" s="66" t="s">
        <v>203</v>
      </c>
      <c r="J220" s="67" t="s">
        <v>135</v>
      </c>
      <c r="K220" s="309" t="s">
        <v>60</v>
      </c>
      <c r="L220" s="68">
        <f t="shared" si="95"/>
        <v>180000</v>
      </c>
      <c r="M220" s="69">
        <f t="shared" si="95"/>
        <v>0</v>
      </c>
      <c r="N220" s="216">
        <f t="shared" si="95"/>
        <v>0</v>
      </c>
      <c r="O220" s="216">
        <f t="shared" si="95"/>
        <v>0</v>
      </c>
      <c r="P220" s="216">
        <f t="shared" si="95"/>
        <v>0</v>
      </c>
      <c r="Q220" s="216">
        <f t="shared" si="95"/>
        <v>0</v>
      </c>
      <c r="R220" s="216">
        <f t="shared" si="95"/>
        <v>0</v>
      </c>
      <c r="S220" s="216">
        <f t="shared" si="95"/>
        <v>31680</v>
      </c>
      <c r="T220" s="216">
        <f t="shared" si="95"/>
        <v>31680</v>
      </c>
      <c r="U220" s="217">
        <f t="shared" si="95"/>
        <v>0</v>
      </c>
      <c r="V220" s="216">
        <f t="shared" si="95"/>
        <v>0</v>
      </c>
      <c r="W220" s="216">
        <f t="shared" si="95"/>
        <v>0</v>
      </c>
      <c r="X220" s="215">
        <f t="shared" si="95"/>
        <v>0</v>
      </c>
      <c r="Y220" s="216">
        <f t="shared" si="95"/>
        <v>0</v>
      </c>
      <c r="Z220" s="217">
        <f t="shared" si="95"/>
        <v>0</v>
      </c>
      <c r="AA220" s="216">
        <f t="shared" si="95"/>
        <v>0</v>
      </c>
      <c r="AB220" s="216">
        <f t="shared" si="95"/>
        <v>0</v>
      </c>
    </row>
    <row r="221" spans="1:28" ht="25.5" x14ac:dyDescent="0.2">
      <c r="A221" s="212" t="s">
        <v>61</v>
      </c>
      <c r="B221" s="58" t="s">
        <v>109</v>
      </c>
      <c r="C221" s="58" t="s">
        <v>69</v>
      </c>
      <c r="D221" s="59" t="s">
        <v>71</v>
      </c>
      <c r="E221" s="66" t="s">
        <v>5</v>
      </c>
      <c r="F221" s="66" t="s">
        <v>135</v>
      </c>
      <c r="G221" s="66" t="s">
        <v>135</v>
      </c>
      <c r="H221" s="66" t="s">
        <v>135</v>
      </c>
      <c r="I221" s="66" t="s">
        <v>203</v>
      </c>
      <c r="J221" s="67" t="s">
        <v>135</v>
      </c>
      <c r="K221" s="309" t="s">
        <v>171</v>
      </c>
      <c r="L221" s="68">
        <v>180000</v>
      </c>
      <c r="M221" s="69">
        <v>0</v>
      </c>
      <c r="N221" s="216">
        <v>0</v>
      </c>
      <c r="O221" s="216">
        <v>0</v>
      </c>
      <c r="P221" s="216">
        <v>0</v>
      </c>
      <c r="Q221" s="216">
        <v>0</v>
      </c>
      <c r="R221" s="216">
        <v>0</v>
      </c>
      <c r="S221" s="216">
        <v>31680</v>
      </c>
      <c r="T221" s="216">
        <f>S221</f>
        <v>31680</v>
      </c>
      <c r="U221" s="217">
        <v>0</v>
      </c>
      <c r="V221" s="216">
        <v>0</v>
      </c>
      <c r="W221" s="216">
        <v>0</v>
      </c>
      <c r="X221" s="215">
        <v>0</v>
      </c>
      <c r="Y221" s="216">
        <v>0</v>
      </c>
      <c r="Z221" s="217">
        <v>0</v>
      </c>
      <c r="AA221" s="216">
        <v>0</v>
      </c>
      <c r="AB221" s="216">
        <v>0</v>
      </c>
    </row>
    <row r="222" spans="1:28" ht="76.5" x14ac:dyDescent="0.2">
      <c r="A222" s="212" t="s">
        <v>306</v>
      </c>
      <c r="B222" s="58" t="s">
        <v>109</v>
      </c>
      <c r="C222" s="77" t="s">
        <v>69</v>
      </c>
      <c r="D222" s="78" t="s">
        <v>71</v>
      </c>
      <c r="E222" s="66" t="s">
        <v>5</v>
      </c>
      <c r="F222" s="66" t="s">
        <v>135</v>
      </c>
      <c r="G222" s="66" t="s">
        <v>135</v>
      </c>
      <c r="H222" s="66" t="s">
        <v>135</v>
      </c>
      <c r="I222" s="66" t="s">
        <v>307</v>
      </c>
      <c r="J222" s="67" t="s">
        <v>135</v>
      </c>
      <c r="K222" s="309"/>
      <c r="L222" s="68">
        <f t="shared" ref="L222:Z222" si="97">L225+L223</f>
        <v>28000</v>
      </c>
      <c r="M222" s="69">
        <f t="shared" si="97"/>
        <v>0</v>
      </c>
      <c r="N222" s="216">
        <f t="shared" si="97"/>
        <v>21000</v>
      </c>
      <c r="O222" s="216">
        <f t="shared" si="97"/>
        <v>0</v>
      </c>
      <c r="P222" s="216">
        <f t="shared" si="97"/>
        <v>21000</v>
      </c>
      <c r="Q222" s="68">
        <f t="shared" si="97"/>
        <v>21000</v>
      </c>
      <c r="R222" s="216">
        <f t="shared" si="97"/>
        <v>0</v>
      </c>
      <c r="S222" s="216">
        <f>S225+S223</f>
        <v>0</v>
      </c>
      <c r="T222" s="216">
        <f>T225+T223</f>
        <v>21000</v>
      </c>
      <c r="U222" s="68">
        <f t="shared" si="97"/>
        <v>21000</v>
      </c>
      <c r="V222" s="216">
        <f t="shared" si="97"/>
        <v>21000</v>
      </c>
      <c r="W222" s="215">
        <f t="shared" si="97"/>
        <v>0</v>
      </c>
      <c r="X222" s="215">
        <f>X225+X223</f>
        <v>0</v>
      </c>
      <c r="Y222" s="216">
        <f>Y225+Y223</f>
        <v>21000</v>
      </c>
      <c r="Z222" s="217">
        <f t="shared" si="97"/>
        <v>21000</v>
      </c>
      <c r="AA222" s="216">
        <f>AA225+AA223</f>
        <v>0</v>
      </c>
      <c r="AB222" s="216">
        <f>AB225+AB223</f>
        <v>21000</v>
      </c>
    </row>
    <row r="223" spans="1:28" ht="51" x14ac:dyDescent="0.2">
      <c r="A223" s="212" t="s">
        <v>67</v>
      </c>
      <c r="B223" s="58" t="s">
        <v>109</v>
      </c>
      <c r="C223" s="77" t="s">
        <v>69</v>
      </c>
      <c r="D223" s="78" t="s">
        <v>71</v>
      </c>
      <c r="E223" s="66" t="s">
        <v>5</v>
      </c>
      <c r="F223" s="66" t="s">
        <v>135</v>
      </c>
      <c r="G223" s="66" t="s">
        <v>135</v>
      </c>
      <c r="H223" s="66" t="s">
        <v>135</v>
      </c>
      <c r="I223" s="66" t="s">
        <v>307</v>
      </c>
      <c r="J223" s="67" t="s">
        <v>135</v>
      </c>
      <c r="K223" s="309" t="s">
        <v>60</v>
      </c>
      <c r="L223" s="68">
        <f t="shared" ref="L223:AB223" si="98">L224</f>
        <v>4400</v>
      </c>
      <c r="M223" s="69">
        <f t="shared" si="98"/>
        <v>0</v>
      </c>
      <c r="N223" s="216">
        <f t="shared" si="98"/>
        <v>8400</v>
      </c>
      <c r="O223" s="216">
        <f t="shared" si="98"/>
        <v>0</v>
      </c>
      <c r="P223" s="216">
        <f t="shared" si="98"/>
        <v>8400</v>
      </c>
      <c r="Q223" s="68">
        <f t="shared" si="98"/>
        <v>8400</v>
      </c>
      <c r="R223" s="216">
        <f t="shared" si="98"/>
        <v>0</v>
      </c>
      <c r="S223" s="216">
        <f t="shared" si="98"/>
        <v>0</v>
      </c>
      <c r="T223" s="216">
        <f t="shared" si="98"/>
        <v>8400</v>
      </c>
      <c r="U223" s="68">
        <f t="shared" si="98"/>
        <v>8400</v>
      </c>
      <c r="V223" s="216">
        <f t="shared" si="98"/>
        <v>8400</v>
      </c>
      <c r="W223" s="215">
        <f t="shared" si="98"/>
        <v>0</v>
      </c>
      <c r="X223" s="215">
        <f t="shared" si="98"/>
        <v>0</v>
      </c>
      <c r="Y223" s="216">
        <f t="shared" si="98"/>
        <v>8400</v>
      </c>
      <c r="Z223" s="217">
        <f t="shared" si="98"/>
        <v>8400</v>
      </c>
      <c r="AA223" s="216">
        <f t="shared" si="98"/>
        <v>0</v>
      </c>
      <c r="AB223" s="216">
        <f t="shared" si="98"/>
        <v>8400</v>
      </c>
    </row>
    <row r="224" spans="1:28" ht="25.5" x14ac:dyDescent="0.2">
      <c r="A224" s="212" t="s">
        <v>61</v>
      </c>
      <c r="B224" s="58" t="s">
        <v>109</v>
      </c>
      <c r="C224" s="77" t="s">
        <v>69</v>
      </c>
      <c r="D224" s="78" t="s">
        <v>71</v>
      </c>
      <c r="E224" s="66" t="s">
        <v>5</v>
      </c>
      <c r="F224" s="66" t="s">
        <v>135</v>
      </c>
      <c r="G224" s="66" t="s">
        <v>135</v>
      </c>
      <c r="H224" s="66" t="s">
        <v>135</v>
      </c>
      <c r="I224" s="66" t="s">
        <v>307</v>
      </c>
      <c r="J224" s="67" t="s">
        <v>135</v>
      </c>
      <c r="K224" s="309" t="s">
        <v>171</v>
      </c>
      <c r="L224" s="68">
        <v>4400</v>
      </c>
      <c r="M224" s="69">
        <v>0</v>
      </c>
      <c r="N224" s="216">
        <v>8400</v>
      </c>
      <c r="O224" s="216">
        <v>0</v>
      </c>
      <c r="P224" s="216">
        <v>8400</v>
      </c>
      <c r="Q224" s="68">
        <v>8400</v>
      </c>
      <c r="R224" s="216">
        <v>0</v>
      </c>
      <c r="S224" s="216">
        <v>0</v>
      </c>
      <c r="T224" s="216">
        <v>8400</v>
      </c>
      <c r="U224" s="68">
        <v>8400</v>
      </c>
      <c r="V224" s="216">
        <v>8400</v>
      </c>
      <c r="W224" s="215">
        <v>0</v>
      </c>
      <c r="X224" s="215">
        <v>0</v>
      </c>
      <c r="Y224" s="216">
        <v>8400</v>
      </c>
      <c r="Z224" s="217">
        <v>8400</v>
      </c>
      <c r="AA224" s="216">
        <v>0</v>
      </c>
      <c r="AB224" s="216">
        <v>8400</v>
      </c>
    </row>
    <row r="225" spans="1:28" ht="25.5" x14ac:dyDescent="0.2">
      <c r="A225" s="212" t="s">
        <v>52</v>
      </c>
      <c r="B225" s="58" t="s">
        <v>109</v>
      </c>
      <c r="C225" s="77" t="s">
        <v>69</v>
      </c>
      <c r="D225" s="78" t="s">
        <v>71</v>
      </c>
      <c r="E225" s="66" t="s">
        <v>5</v>
      </c>
      <c r="F225" s="66" t="s">
        <v>135</v>
      </c>
      <c r="G225" s="66" t="s">
        <v>135</v>
      </c>
      <c r="H225" s="66" t="s">
        <v>135</v>
      </c>
      <c r="I225" s="66" t="s">
        <v>307</v>
      </c>
      <c r="J225" s="67" t="s">
        <v>135</v>
      </c>
      <c r="K225" s="309">
        <v>200</v>
      </c>
      <c r="L225" s="68">
        <f t="shared" ref="L225:AB225" si="99">L226</f>
        <v>23600</v>
      </c>
      <c r="M225" s="69">
        <f t="shared" si="99"/>
        <v>0</v>
      </c>
      <c r="N225" s="216">
        <f t="shared" si="99"/>
        <v>12600</v>
      </c>
      <c r="O225" s="216">
        <f t="shared" si="99"/>
        <v>0</v>
      </c>
      <c r="P225" s="216">
        <f t="shared" si="99"/>
        <v>12600</v>
      </c>
      <c r="Q225" s="68">
        <f t="shared" si="99"/>
        <v>12600</v>
      </c>
      <c r="R225" s="216">
        <f t="shared" si="99"/>
        <v>0</v>
      </c>
      <c r="S225" s="216">
        <f t="shared" si="99"/>
        <v>0</v>
      </c>
      <c r="T225" s="216">
        <f t="shared" si="99"/>
        <v>12600</v>
      </c>
      <c r="U225" s="68">
        <f t="shared" si="99"/>
        <v>12600</v>
      </c>
      <c r="V225" s="216">
        <f t="shared" si="99"/>
        <v>12600</v>
      </c>
      <c r="W225" s="215">
        <f t="shared" si="99"/>
        <v>0</v>
      </c>
      <c r="X225" s="215">
        <f t="shared" si="99"/>
        <v>0</v>
      </c>
      <c r="Y225" s="216">
        <f t="shared" si="99"/>
        <v>12600</v>
      </c>
      <c r="Z225" s="217">
        <f t="shared" si="99"/>
        <v>12600</v>
      </c>
      <c r="AA225" s="216">
        <f t="shared" si="99"/>
        <v>0</v>
      </c>
      <c r="AB225" s="216">
        <f t="shared" si="99"/>
        <v>12600</v>
      </c>
    </row>
    <row r="226" spans="1:28" ht="25.5" x14ac:dyDescent="0.2">
      <c r="A226" s="212" t="s">
        <v>54</v>
      </c>
      <c r="B226" s="58" t="s">
        <v>109</v>
      </c>
      <c r="C226" s="77" t="s">
        <v>69</v>
      </c>
      <c r="D226" s="78" t="s">
        <v>71</v>
      </c>
      <c r="E226" s="66" t="s">
        <v>5</v>
      </c>
      <c r="F226" s="66" t="s">
        <v>135</v>
      </c>
      <c r="G226" s="66" t="s">
        <v>135</v>
      </c>
      <c r="H226" s="66" t="s">
        <v>135</v>
      </c>
      <c r="I226" s="66" t="s">
        <v>307</v>
      </c>
      <c r="J226" s="67" t="s">
        <v>135</v>
      </c>
      <c r="K226" s="309">
        <v>240</v>
      </c>
      <c r="L226" s="68">
        <v>23600</v>
      </c>
      <c r="M226" s="69">
        <v>0</v>
      </c>
      <c r="N226" s="216">
        <v>12600</v>
      </c>
      <c r="O226" s="216">
        <v>0</v>
      </c>
      <c r="P226" s="216">
        <v>12600</v>
      </c>
      <c r="Q226" s="68">
        <v>12600</v>
      </c>
      <c r="R226" s="216">
        <v>0</v>
      </c>
      <c r="S226" s="216">
        <v>0</v>
      </c>
      <c r="T226" s="216">
        <v>12600</v>
      </c>
      <c r="U226" s="68">
        <v>12600</v>
      </c>
      <c r="V226" s="216">
        <v>12600</v>
      </c>
      <c r="W226" s="215">
        <v>0</v>
      </c>
      <c r="X226" s="215">
        <v>0</v>
      </c>
      <c r="Y226" s="216">
        <v>12600</v>
      </c>
      <c r="Z226" s="217">
        <v>12600</v>
      </c>
      <c r="AA226" s="216">
        <v>0</v>
      </c>
      <c r="AB226" s="216">
        <v>12600</v>
      </c>
    </row>
    <row r="227" spans="1:28" ht="38.25" x14ac:dyDescent="0.2">
      <c r="A227" s="212" t="s">
        <v>289</v>
      </c>
      <c r="B227" s="58" t="s">
        <v>109</v>
      </c>
      <c r="C227" s="77" t="s">
        <v>69</v>
      </c>
      <c r="D227" s="78" t="s">
        <v>71</v>
      </c>
      <c r="E227" s="66" t="s">
        <v>5</v>
      </c>
      <c r="F227" s="66" t="s">
        <v>135</v>
      </c>
      <c r="G227" s="66" t="s">
        <v>135</v>
      </c>
      <c r="H227" s="66" t="s">
        <v>135</v>
      </c>
      <c r="I227" s="66" t="s">
        <v>288</v>
      </c>
      <c r="J227" s="67" t="s">
        <v>135</v>
      </c>
      <c r="K227" s="309"/>
      <c r="L227" s="68">
        <f t="shared" ref="L227:Z227" si="100">L228+L230</f>
        <v>464749</v>
      </c>
      <c r="M227" s="69">
        <f t="shared" si="100"/>
        <v>0</v>
      </c>
      <c r="N227" s="216">
        <f t="shared" si="100"/>
        <v>570678.98</v>
      </c>
      <c r="O227" s="216">
        <f t="shared" si="100"/>
        <v>0</v>
      </c>
      <c r="P227" s="216">
        <f t="shared" si="100"/>
        <v>570678.98</v>
      </c>
      <c r="Q227" s="68">
        <f t="shared" si="100"/>
        <v>575935.77</v>
      </c>
      <c r="R227" s="216">
        <f t="shared" si="100"/>
        <v>0</v>
      </c>
      <c r="S227" s="216">
        <f>S228+S230</f>
        <v>0</v>
      </c>
      <c r="T227" s="216">
        <f>T228+T230</f>
        <v>570678.98</v>
      </c>
      <c r="U227" s="68">
        <f t="shared" si="100"/>
        <v>575935.77</v>
      </c>
      <c r="V227" s="216">
        <f t="shared" si="100"/>
        <v>597173.19999999995</v>
      </c>
      <c r="W227" s="215">
        <f t="shared" si="100"/>
        <v>0</v>
      </c>
      <c r="X227" s="215">
        <f>X228+X230</f>
        <v>0</v>
      </c>
      <c r="Y227" s="216">
        <f>Y228+Y230</f>
        <v>575935.77</v>
      </c>
      <c r="Z227" s="217">
        <f t="shared" si="100"/>
        <v>597173.19999999995</v>
      </c>
      <c r="AA227" s="216">
        <f>AA228+AA230</f>
        <v>0</v>
      </c>
      <c r="AB227" s="216">
        <f>AB228+AB230</f>
        <v>597173.19999999995</v>
      </c>
    </row>
    <row r="228" spans="1:28" ht="51" x14ac:dyDescent="0.2">
      <c r="A228" s="212" t="s">
        <v>67</v>
      </c>
      <c r="B228" s="58" t="s">
        <v>109</v>
      </c>
      <c r="C228" s="77" t="s">
        <v>69</v>
      </c>
      <c r="D228" s="78" t="s">
        <v>71</v>
      </c>
      <c r="E228" s="66" t="s">
        <v>5</v>
      </c>
      <c r="F228" s="66" t="s">
        <v>135</v>
      </c>
      <c r="G228" s="66" t="s">
        <v>135</v>
      </c>
      <c r="H228" s="66" t="s">
        <v>135</v>
      </c>
      <c r="I228" s="66" t="s">
        <v>288</v>
      </c>
      <c r="J228" s="67" t="s">
        <v>135</v>
      </c>
      <c r="K228" s="309">
        <v>100</v>
      </c>
      <c r="L228" s="68">
        <f t="shared" ref="L228:AB228" si="101">L229</f>
        <v>402400</v>
      </c>
      <c r="M228" s="69">
        <f t="shared" si="101"/>
        <v>0</v>
      </c>
      <c r="N228" s="216">
        <f t="shared" si="101"/>
        <v>506219.2</v>
      </c>
      <c r="O228" s="216">
        <f t="shared" si="101"/>
        <v>0</v>
      </c>
      <c r="P228" s="216">
        <f t="shared" si="101"/>
        <v>506219.2</v>
      </c>
      <c r="Q228" s="68">
        <f t="shared" si="101"/>
        <v>511427.2</v>
      </c>
      <c r="R228" s="216">
        <f t="shared" si="101"/>
        <v>0</v>
      </c>
      <c r="S228" s="216">
        <f t="shared" si="101"/>
        <v>0</v>
      </c>
      <c r="T228" s="216">
        <f t="shared" si="101"/>
        <v>506219.2</v>
      </c>
      <c r="U228" s="68">
        <f t="shared" si="101"/>
        <v>511427.2</v>
      </c>
      <c r="V228" s="216">
        <f t="shared" si="101"/>
        <v>532519.6</v>
      </c>
      <c r="W228" s="215">
        <f t="shared" si="101"/>
        <v>0</v>
      </c>
      <c r="X228" s="215">
        <f t="shared" si="101"/>
        <v>0</v>
      </c>
      <c r="Y228" s="216">
        <f t="shared" si="101"/>
        <v>511427.2</v>
      </c>
      <c r="Z228" s="217">
        <f t="shared" si="101"/>
        <v>532519.6</v>
      </c>
      <c r="AA228" s="216">
        <f t="shared" si="101"/>
        <v>0</v>
      </c>
      <c r="AB228" s="216">
        <f t="shared" si="101"/>
        <v>532519.6</v>
      </c>
    </row>
    <row r="229" spans="1:28" ht="25.5" x14ac:dyDescent="0.2">
      <c r="A229" s="212" t="s">
        <v>61</v>
      </c>
      <c r="B229" s="58" t="s">
        <v>109</v>
      </c>
      <c r="C229" s="77" t="s">
        <v>69</v>
      </c>
      <c r="D229" s="78" t="s">
        <v>71</v>
      </c>
      <c r="E229" s="66" t="s">
        <v>5</v>
      </c>
      <c r="F229" s="66" t="s">
        <v>135</v>
      </c>
      <c r="G229" s="66" t="s">
        <v>135</v>
      </c>
      <c r="H229" s="66" t="s">
        <v>135</v>
      </c>
      <c r="I229" s="66" t="s">
        <v>288</v>
      </c>
      <c r="J229" s="67" t="s">
        <v>135</v>
      </c>
      <c r="K229" s="309">
        <v>120</v>
      </c>
      <c r="L229" s="68">
        <f>303300+7500+91600</f>
        <v>402400</v>
      </c>
      <c r="M229" s="69">
        <v>0</v>
      </c>
      <c r="N229" s="216">
        <f>371600+23000+111619.2</f>
        <v>506219.2</v>
      </c>
      <c r="O229" s="216">
        <v>0</v>
      </c>
      <c r="P229" s="216">
        <f>371600+23000+111619.2</f>
        <v>506219.2</v>
      </c>
      <c r="Q229" s="68">
        <f>375600+23000+112827.2</f>
        <v>511427.2</v>
      </c>
      <c r="R229" s="216">
        <v>0</v>
      </c>
      <c r="S229" s="216">
        <v>0</v>
      </c>
      <c r="T229" s="216">
        <f>371600+23000+111619.2</f>
        <v>506219.2</v>
      </c>
      <c r="U229" s="68">
        <f>375600+23000+112827.2</f>
        <v>511427.2</v>
      </c>
      <c r="V229" s="216">
        <f>391800+117719.6+23000</f>
        <v>532519.6</v>
      </c>
      <c r="W229" s="215">
        <v>0</v>
      </c>
      <c r="X229" s="215">
        <v>0</v>
      </c>
      <c r="Y229" s="216">
        <f>375600+23000+112827.2</f>
        <v>511427.2</v>
      </c>
      <c r="Z229" s="217">
        <f>391800+117719.6+23000</f>
        <v>532519.6</v>
      </c>
      <c r="AA229" s="216">
        <v>0</v>
      </c>
      <c r="AB229" s="216">
        <f>391800+117719.6+23000</f>
        <v>532519.6</v>
      </c>
    </row>
    <row r="230" spans="1:28" ht="25.5" x14ac:dyDescent="0.2">
      <c r="A230" s="212" t="s">
        <v>52</v>
      </c>
      <c r="B230" s="58" t="s">
        <v>109</v>
      </c>
      <c r="C230" s="77" t="s">
        <v>69</v>
      </c>
      <c r="D230" s="78" t="s">
        <v>71</v>
      </c>
      <c r="E230" s="66" t="s">
        <v>5</v>
      </c>
      <c r="F230" s="66" t="s">
        <v>135</v>
      </c>
      <c r="G230" s="66" t="s">
        <v>135</v>
      </c>
      <c r="H230" s="66" t="s">
        <v>135</v>
      </c>
      <c r="I230" s="66" t="s">
        <v>288</v>
      </c>
      <c r="J230" s="67" t="s">
        <v>135</v>
      </c>
      <c r="K230" s="309">
        <v>200</v>
      </c>
      <c r="L230" s="68">
        <f t="shared" ref="L230:AB230" si="102">L231</f>
        <v>62349</v>
      </c>
      <c r="M230" s="69">
        <f t="shared" si="102"/>
        <v>0</v>
      </c>
      <c r="N230" s="216">
        <f t="shared" si="102"/>
        <v>64459.78</v>
      </c>
      <c r="O230" s="216">
        <f t="shared" si="102"/>
        <v>0</v>
      </c>
      <c r="P230" s="216">
        <f t="shared" si="102"/>
        <v>64459.78</v>
      </c>
      <c r="Q230" s="68">
        <f t="shared" si="102"/>
        <v>64508.57</v>
      </c>
      <c r="R230" s="216">
        <f t="shared" si="102"/>
        <v>0</v>
      </c>
      <c r="S230" s="216">
        <f t="shared" si="102"/>
        <v>0</v>
      </c>
      <c r="T230" s="216">
        <f t="shared" si="102"/>
        <v>64459.78</v>
      </c>
      <c r="U230" s="68">
        <f t="shared" si="102"/>
        <v>64508.57</v>
      </c>
      <c r="V230" s="216">
        <f t="shared" si="102"/>
        <v>64653.599999999999</v>
      </c>
      <c r="W230" s="215">
        <f t="shared" si="102"/>
        <v>0</v>
      </c>
      <c r="X230" s="215">
        <f t="shared" si="102"/>
        <v>0</v>
      </c>
      <c r="Y230" s="216">
        <f t="shared" si="102"/>
        <v>64508.57</v>
      </c>
      <c r="Z230" s="217">
        <f t="shared" si="102"/>
        <v>64653.599999999999</v>
      </c>
      <c r="AA230" s="216">
        <f t="shared" si="102"/>
        <v>0</v>
      </c>
      <c r="AB230" s="216">
        <f t="shared" si="102"/>
        <v>64653.599999999999</v>
      </c>
    </row>
    <row r="231" spans="1:28" ht="25.5" x14ac:dyDescent="0.2">
      <c r="A231" s="212" t="s">
        <v>54</v>
      </c>
      <c r="B231" s="58" t="s">
        <v>109</v>
      </c>
      <c r="C231" s="77" t="s">
        <v>69</v>
      </c>
      <c r="D231" s="78" t="s">
        <v>71</v>
      </c>
      <c r="E231" s="66" t="s">
        <v>5</v>
      </c>
      <c r="F231" s="66" t="s">
        <v>135</v>
      </c>
      <c r="G231" s="66" t="s">
        <v>135</v>
      </c>
      <c r="H231" s="66" t="s">
        <v>135</v>
      </c>
      <c r="I231" s="66" t="s">
        <v>288</v>
      </c>
      <c r="J231" s="67" t="s">
        <v>135</v>
      </c>
      <c r="K231" s="309">
        <v>240</v>
      </c>
      <c r="L231" s="68">
        <v>62349</v>
      </c>
      <c r="M231" s="69">
        <v>0</v>
      </c>
      <c r="N231" s="216">
        <v>64459.78</v>
      </c>
      <c r="O231" s="216">
        <v>0</v>
      </c>
      <c r="P231" s="216">
        <v>64459.78</v>
      </c>
      <c r="Q231" s="68">
        <v>64508.57</v>
      </c>
      <c r="R231" s="216">
        <v>0</v>
      </c>
      <c r="S231" s="216">
        <v>0</v>
      </c>
      <c r="T231" s="216">
        <v>64459.78</v>
      </c>
      <c r="U231" s="68">
        <v>64508.57</v>
      </c>
      <c r="V231" s="216">
        <v>64653.599999999999</v>
      </c>
      <c r="W231" s="215">
        <v>0</v>
      </c>
      <c r="X231" s="215">
        <v>0</v>
      </c>
      <c r="Y231" s="216">
        <v>64508.57</v>
      </c>
      <c r="Z231" s="217">
        <v>64653.599999999999</v>
      </c>
      <c r="AA231" s="216">
        <v>0</v>
      </c>
      <c r="AB231" s="216">
        <v>64653.599999999999</v>
      </c>
    </row>
    <row r="232" spans="1:28" ht="25.5" x14ac:dyDescent="0.2">
      <c r="A232" s="212" t="s">
        <v>24</v>
      </c>
      <c r="B232" s="58" t="s">
        <v>109</v>
      </c>
      <c r="C232" s="77" t="s">
        <v>69</v>
      </c>
      <c r="D232" s="78" t="s">
        <v>71</v>
      </c>
      <c r="E232" s="66" t="s">
        <v>5</v>
      </c>
      <c r="F232" s="66" t="s">
        <v>135</v>
      </c>
      <c r="G232" s="66" t="s">
        <v>135</v>
      </c>
      <c r="H232" s="66" t="s">
        <v>135</v>
      </c>
      <c r="I232" s="66" t="s">
        <v>283</v>
      </c>
      <c r="J232" s="67" t="s">
        <v>137</v>
      </c>
      <c r="K232" s="309"/>
      <c r="L232" s="68">
        <f t="shared" ref="L232:Z232" si="103">L233+L235</f>
        <v>1961900</v>
      </c>
      <c r="M232" s="69">
        <f t="shared" si="103"/>
        <v>0</v>
      </c>
      <c r="N232" s="216">
        <f t="shared" si="103"/>
        <v>2759146.69</v>
      </c>
      <c r="O232" s="216">
        <f t="shared" si="103"/>
        <v>0</v>
      </c>
      <c r="P232" s="216">
        <f t="shared" si="103"/>
        <v>2759146.69</v>
      </c>
      <c r="Q232" s="68">
        <f t="shared" si="103"/>
        <v>2794084.56</v>
      </c>
      <c r="R232" s="216">
        <f t="shared" si="103"/>
        <v>0</v>
      </c>
      <c r="S232" s="216">
        <f>S233+S235</f>
        <v>0</v>
      </c>
      <c r="T232" s="216">
        <f>T233+T235</f>
        <v>2759146.69</v>
      </c>
      <c r="U232" s="68">
        <f t="shared" si="103"/>
        <v>2794084.56</v>
      </c>
      <c r="V232" s="216">
        <f t="shared" si="103"/>
        <v>2907388.6299999994</v>
      </c>
      <c r="W232" s="215">
        <f t="shared" si="103"/>
        <v>0</v>
      </c>
      <c r="X232" s="215">
        <f>X233+X235</f>
        <v>0</v>
      </c>
      <c r="Y232" s="216">
        <f>Y233+Y235</f>
        <v>2794084.56</v>
      </c>
      <c r="Z232" s="217">
        <f t="shared" si="103"/>
        <v>2907388.6299999994</v>
      </c>
      <c r="AA232" s="216">
        <f>AA233+AA235</f>
        <v>0</v>
      </c>
      <c r="AB232" s="216">
        <f>AB233+AB235</f>
        <v>2907388.6299999994</v>
      </c>
    </row>
    <row r="233" spans="1:28" ht="51" x14ac:dyDescent="0.2">
      <c r="A233" s="212" t="s">
        <v>67</v>
      </c>
      <c r="B233" s="58" t="s">
        <v>109</v>
      </c>
      <c r="C233" s="77" t="s">
        <v>69</v>
      </c>
      <c r="D233" s="78" t="s">
        <v>71</v>
      </c>
      <c r="E233" s="66" t="s">
        <v>5</v>
      </c>
      <c r="F233" s="66" t="s">
        <v>135</v>
      </c>
      <c r="G233" s="66" t="s">
        <v>135</v>
      </c>
      <c r="H233" s="66" t="s">
        <v>135</v>
      </c>
      <c r="I233" s="66" t="s">
        <v>283</v>
      </c>
      <c r="J233" s="67" t="s">
        <v>137</v>
      </c>
      <c r="K233" s="309">
        <v>100</v>
      </c>
      <c r="L233" s="68">
        <f t="shared" ref="L233:AB233" si="104">L234</f>
        <v>1879400</v>
      </c>
      <c r="M233" s="69">
        <f t="shared" si="104"/>
        <v>0</v>
      </c>
      <c r="N233" s="216">
        <f t="shared" si="104"/>
        <v>2671672.16</v>
      </c>
      <c r="O233" s="216">
        <f t="shared" si="104"/>
        <v>0</v>
      </c>
      <c r="P233" s="216">
        <f t="shared" si="104"/>
        <v>2671672.16</v>
      </c>
      <c r="Q233" s="68">
        <f t="shared" si="104"/>
        <v>2703760.0300000003</v>
      </c>
      <c r="R233" s="216">
        <f t="shared" si="104"/>
        <v>0</v>
      </c>
      <c r="S233" s="216">
        <f t="shared" si="104"/>
        <v>0</v>
      </c>
      <c r="T233" s="216">
        <f t="shared" si="104"/>
        <v>2671672.16</v>
      </c>
      <c r="U233" s="68">
        <f t="shared" si="104"/>
        <v>2703760.0300000003</v>
      </c>
      <c r="V233" s="216">
        <f t="shared" si="104"/>
        <v>2817064.0999999996</v>
      </c>
      <c r="W233" s="215">
        <f t="shared" si="104"/>
        <v>0</v>
      </c>
      <c r="X233" s="215">
        <f t="shared" si="104"/>
        <v>0</v>
      </c>
      <c r="Y233" s="216">
        <f t="shared" si="104"/>
        <v>2703760.0300000003</v>
      </c>
      <c r="Z233" s="217">
        <f t="shared" si="104"/>
        <v>2817064.0999999996</v>
      </c>
      <c r="AA233" s="216">
        <f t="shared" si="104"/>
        <v>0</v>
      </c>
      <c r="AB233" s="216">
        <f t="shared" si="104"/>
        <v>2817064.0999999996</v>
      </c>
    </row>
    <row r="234" spans="1:28" ht="25.5" x14ac:dyDescent="0.2">
      <c r="A234" s="212" t="s">
        <v>61</v>
      </c>
      <c r="B234" s="58" t="s">
        <v>109</v>
      </c>
      <c r="C234" s="77" t="s">
        <v>69</v>
      </c>
      <c r="D234" s="78" t="s">
        <v>71</v>
      </c>
      <c r="E234" s="66" t="s">
        <v>5</v>
      </c>
      <c r="F234" s="66" t="s">
        <v>135</v>
      </c>
      <c r="G234" s="66" t="s">
        <v>135</v>
      </c>
      <c r="H234" s="66" t="s">
        <v>135</v>
      </c>
      <c r="I234" s="66" t="s">
        <v>283</v>
      </c>
      <c r="J234" s="67" t="s">
        <v>137</v>
      </c>
      <c r="K234" s="309">
        <v>120</v>
      </c>
      <c r="L234" s="68">
        <f>1814400+65000</f>
        <v>1879400</v>
      </c>
      <c r="M234" s="69">
        <v>0</v>
      </c>
      <c r="N234" s="216">
        <f>2003907.96+602764.2+65000</f>
        <v>2671672.16</v>
      </c>
      <c r="O234" s="216">
        <v>0</v>
      </c>
      <c r="P234" s="216">
        <f>2003907.96+602764.2+65000</f>
        <v>2671672.16</v>
      </c>
      <c r="Q234" s="68">
        <f>2066955.48+621804.55+15000</f>
        <v>2703760.0300000003</v>
      </c>
      <c r="R234" s="216">
        <v>0</v>
      </c>
      <c r="S234" s="216">
        <v>0</v>
      </c>
      <c r="T234" s="216">
        <f>2003907.96+602764.2+65000</f>
        <v>2671672.16</v>
      </c>
      <c r="U234" s="68">
        <f>2066955.48+621804.55+15000</f>
        <v>2703760.0300000003</v>
      </c>
      <c r="V234" s="216">
        <f>2115576.11+636487.99+65000</f>
        <v>2817064.0999999996</v>
      </c>
      <c r="W234" s="215">
        <v>0</v>
      </c>
      <c r="X234" s="215">
        <v>0</v>
      </c>
      <c r="Y234" s="216">
        <f>2066955.48+621804.55+15000</f>
        <v>2703760.0300000003</v>
      </c>
      <c r="Z234" s="217">
        <f>2115576.11+636487.99+65000</f>
        <v>2817064.0999999996</v>
      </c>
      <c r="AA234" s="216">
        <v>0</v>
      </c>
      <c r="AB234" s="216">
        <f>2115576.11+636487.99+65000</f>
        <v>2817064.0999999996</v>
      </c>
    </row>
    <row r="235" spans="1:28" ht="25.5" x14ac:dyDescent="0.2">
      <c r="A235" s="212" t="s">
        <v>52</v>
      </c>
      <c r="B235" s="58" t="s">
        <v>109</v>
      </c>
      <c r="C235" s="77" t="s">
        <v>69</v>
      </c>
      <c r="D235" s="78" t="s">
        <v>71</v>
      </c>
      <c r="E235" s="66" t="s">
        <v>5</v>
      </c>
      <c r="F235" s="66" t="s">
        <v>135</v>
      </c>
      <c r="G235" s="66" t="s">
        <v>135</v>
      </c>
      <c r="H235" s="66" t="s">
        <v>135</v>
      </c>
      <c r="I235" s="66" t="s">
        <v>283</v>
      </c>
      <c r="J235" s="67" t="s">
        <v>137</v>
      </c>
      <c r="K235" s="309">
        <v>200</v>
      </c>
      <c r="L235" s="68">
        <f t="shared" ref="L235:AB235" si="105">L236</f>
        <v>82500</v>
      </c>
      <c r="M235" s="69">
        <f t="shared" si="105"/>
        <v>0</v>
      </c>
      <c r="N235" s="216">
        <f t="shared" si="105"/>
        <v>87474.53</v>
      </c>
      <c r="O235" s="216">
        <f t="shared" si="105"/>
        <v>0</v>
      </c>
      <c r="P235" s="216">
        <f t="shared" si="105"/>
        <v>87474.53</v>
      </c>
      <c r="Q235" s="68">
        <f t="shared" si="105"/>
        <v>90324.53</v>
      </c>
      <c r="R235" s="216">
        <f t="shared" si="105"/>
        <v>0</v>
      </c>
      <c r="S235" s="216">
        <f t="shared" si="105"/>
        <v>0</v>
      </c>
      <c r="T235" s="216">
        <f t="shared" si="105"/>
        <v>87474.53</v>
      </c>
      <c r="U235" s="68">
        <f t="shared" si="105"/>
        <v>90324.53</v>
      </c>
      <c r="V235" s="216">
        <f t="shared" si="105"/>
        <v>90324.53</v>
      </c>
      <c r="W235" s="215">
        <f t="shared" si="105"/>
        <v>0</v>
      </c>
      <c r="X235" s="215">
        <f t="shared" si="105"/>
        <v>0</v>
      </c>
      <c r="Y235" s="216">
        <f t="shared" si="105"/>
        <v>90324.53</v>
      </c>
      <c r="Z235" s="217">
        <f t="shared" si="105"/>
        <v>90324.53</v>
      </c>
      <c r="AA235" s="216">
        <f t="shared" si="105"/>
        <v>0</v>
      </c>
      <c r="AB235" s="216">
        <f t="shared" si="105"/>
        <v>90324.53</v>
      </c>
    </row>
    <row r="236" spans="1:28" ht="25.5" x14ac:dyDescent="0.2">
      <c r="A236" s="212" t="s">
        <v>54</v>
      </c>
      <c r="B236" s="58" t="s">
        <v>109</v>
      </c>
      <c r="C236" s="77" t="s">
        <v>69</v>
      </c>
      <c r="D236" s="78" t="s">
        <v>71</v>
      </c>
      <c r="E236" s="66" t="s">
        <v>5</v>
      </c>
      <c r="F236" s="66" t="s">
        <v>135</v>
      </c>
      <c r="G236" s="66" t="s">
        <v>135</v>
      </c>
      <c r="H236" s="66" t="s">
        <v>135</v>
      </c>
      <c r="I236" s="66" t="s">
        <v>283</v>
      </c>
      <c r="J236" s="67" t="s">
        <v>137</v>
      </c>
      <c r="K236" s="309">
        <v>240</v>
      </c>
      <c r="L236" s="68">
        <v>82500</v>
      </c>
      <c r="M236" s="69">
        <v>0</v>
      </c>
      <c r="N236" s="216">
        <v>87474.53</v>
      </c>
      <c r="O236" s="216">
        <v>0</v>
      </c>
      <c r="P236" s="216">
        <v>87474.53</v>
      </c>
      <c r="Q236" s="68">
        <v>90324.53</v>
      </c>
      <c r="R236" s="216">
        <v>0</v>
      </c>
      <c r="S236" s="216">
        <v>0</v>
      </c>
      <c r="T236" s="216">
        <v>87474.53</v>
      </c>
      <c r="U236" s="68">
        <v>90324.53</v>
      </c>
      <c r="V236" s="216">
        <v>90324.53</v>
      </c>
      <c r="W236" s="215">
        <v>0</v>
      </c>
      <c r="X236" s="215">
        <v>0</v>
      </c>
      <c r="Y236" s="216">
        <v>90324.53</v>
      </c>
      <c r="Z236" s="217">
        <v>90324.53</v>
      </c>
      <c r="AA236" s="216">
        <v>0</v>
      </c>
      <c r="AB236" s="216">
        <v>90324.53</v>
      </c>
    </row>
    <row r="237" spans="1:28" ht="25.5" x14ac:dyDescent="0.2">
      <c r="A237" s="212" t="s">
        <v>343</v>
      </c>
      <c r="B237" s="58" t="s">
        <v>109</v>
      </c>
      <c r="C237" s="78" t="s">
        <v>69</v>
      </c>
      <c r="D237" s="80" t="s">
        <v>71</v>
      </c>
      <c r="E237" s="103" t="s">
        <v>5</v>
      </c>
      <c r="F237" s="66" t="s">
        <v>135</v>
      </c>
      <c r="G237" s="66" t="s">
        <v>135</v>
      </c>
      <c r="H237" s="66" t="s">
        <v>135</v>
      </c>
      <c r="I237" s="66" t="s">
        <v>283</v>
      </c>
      <c r="J237" s="67" t="s">
        <v>134</v>
      </c>
      <c r="K237" s="309"/>
      <c r="L237" s="68">
        <f t="shared" ref="L237:AB238" si="106">L238</f>
        <v>1225000</v>
      </c>
      <c r="M237" s="69">
        <f t="shared" si="106"/>
        <v>0</v>
      </c>
      <c r="N237" s="216">
        <f t="shared" ref="N237:Z237" si="107">N238+N240</f>
        <v>1268426.8500000001</v>
      </c>
      <c r="O237" s="216">
        <f t="shared" si="107"/>
        <v>0</v>
      </c>
      <c r="P237" s="216">
        <f t="shared" si="107"/>
        <v>1268426.8500000001</v>
      </c>
      <c r="Q237" s="68">
        <f t="shared" si="107"/>
        <v>1221746.97</v>
      </c>
      <c r="R237" s="216">
        <f t="shared" si="107"/>
        <v>0</v>
      </c>
      <c r="S237" s="216">
        <f>S238+S240</f>
        <v>0</v>
      </c>
      <c r="T237" s="216">
        <f>T238+T240</f>
        <v>1268426.8500000001</v>
      </c>
      <c r="U237" s="68">
        <f t="shared" si="107"/>
        <v>1221746.97</v>
      </c>
      <c r="V237" s="216">
        <f t="shared" si="107"/>
        <v>1248329.45</v>
      </c>
      <c r="W237" s="215">
        <f t="shared" si="107"/>
        <v>0</v>
      </c>
      <c r="X237" s="215">
        <f>X238+X240</f>
        <v>0</v>
      </c>
      <c r="Y237" s="216">
        <f>Y238+Y240</f>
        <v>1221746.97</v>
      </c>
      <c r="Z237" s="217">
        <f t="shared" si="107"/>
        <v>1248329.45</v>
      </c>
      <c r="AA237" s="216">
        <f>AA238+AA240</f>
        <v>0</v>
      </c>
      <c r="AB237" s="216">
        <f>AB238+AB240</f>
        <v>1248329.45</v>
      </c>
    </row>
    <row r="238" spans="1:28" ht="51" x14ac:dyDescent="0.2">
      <c r="A238" s="212" t="s">
        <v>67</v>
      </c>
      <c r="B238" s="58" t="s">
        <v>109</v>
      </c>
      <c r="C238" s="78" t="s">
        <v>69</v>
      </c>
      <c r="D238" s="80" t="s">
        <v>71</v>
      </c>
      <c r="E238" s="103" t="s">
        <v>5</v>
      </c>
      <c r="F238" s="66" t="s">
        <v>135</v>
      </c>
      <c r="G238" s="66" t="s">
        <v>135</v>
      </c>
      <c r="H238" s="66" t="s">
        <v>135</v>
      </c>
      <c r="I238" s="66" t="s">
        <v>283</v>
      </c>
      <c r="J238" s="67" t="s">
        <v>134</v>
      </c>
      <c r="K238" s="309">
        <v>100</v>
      </c>
      <c r="L238" s="68">
        <f t="shared" si="106"/>
        <v>1225000</v>
      </c>
      <c r="M238" s="69">
        <f t="shared" si="106"/>
        <v>0</v>
      </c>
      <c r="N238" s="216">
        <f t="shared" si="106"/>
        <v>1102131.71</v>
      </c>
      <c r="O238" s="216">
        <f t="shared" si="106"/>
        <v>0</v>
      </c>
      <c r="P238" s="216">
        <f t="shared" si="106"/>
        <v>1102131.71</v>
      </c>
      <c r="Q238" s="68">
        <f t="shared" si="106"/>
        <v>1136601.83</v>
      </c>
      <c r="R238" s="216">
        <f t="shared" si="106"/>
        <v>0</v>
      </c>
      <c r="S238" s="216">
        <f t="shared" si="106"/>
        <v>0</v>
      </c>
      <c r="T238" s="216">
        <f t="shared" si="106"/>
        <v>1102131.71</v>
      </c>
      <c r="U238" s="68">
        <f t="shared" si="106"/>
        <v>1136601.83</v>
      </c>
      <c r="V238" s="216">
        <f t="shared" si="106"/>
        <v>1163184.31</v>
      </c>
      <c r="W238" s="215">
        <f t="shared" si="106"/>
        <v>0</v>
      </c>
      <c r="X238" s="215">
        <f t="shared" si="106"/>
        <v>0</v>
      </c>
      <c r="Y238" s="216">
        <f t="shared" si="106"/>
        <v>1136601.83</v>
      </c>
      <c r="Z238" s="217">
        <f t="shared" si="106"/>
        <v>1163184.31</v>
      </c>
      <c r="AA238" s="216">
        <f t="shared" si="106"/>
        <v>0</v>
      </c>
      <c r="AB238" s="216">
        <f t="shared" si="106"/>
        <v>1163184.31</v>
      </c>
    </row>
    <row r="239" spans="1:28" ht="25.5" x14ac:dyDescent="0.2">
      <c r="A239" s="212" t="s">
        <v>61</v>
      </c>
      <c r="B239" s="58" t="s">
        <v>109</v>
      </c>
      <c r="C239" s="78" t="s">
        <v>69</v>
      </c>
      <c r="D239" s="80" t="s">
        <v>71</v>
      </c>
      <c r="E239" s="103" t="s">
        <v>5</v>
      </c>
      <c r="F239" s="66" t="s">
        <v>135</v>
      </c>
      <c r="G239" s="66" t="s">
        <v>135</v>
      </c>
      <c r="H239" s="66" t="s">
        <v>135</v>
      </c>
      <c r="I239" s="66" t="s">
        <v>283</v>
      </c>
      <c r="J239" s="67" t="s">
        <v>134</v>
      </c>
      <c r="K239" s="309">
        <v>120</v>
      </c>
      <c r="L239" s="68">
        <v>1225000</v>
      </c>
      <c r="M239" s="69">
        <v>0</v>
      </c>
      <c r="N239" s="216">
        <f>847419.13+254712.58</f>
        <v>1102131.71</v>
      </c>
      <c r="O239" s="216">
        <v>0</v>
      </c>
      <c r="P239" s="216">
        <f>847419.13+254712.58</f>
        <v>1102131.71</v>
      </c>
      <c r="Q239" s="68">
        <f>873893.88+262707.95</f>
        <v>1136601.83</v>
      </c>
      <c r="R239" s="216">
        <v>0</v>
      </c>
      <c r="S239" s="216">
        <v>0</v>
      </c>
      <c r="T239" s="216">
        <f>847419.13+254712.58</f>
        <v>1102131.71</v>
      </c>
      <c r="U239" s="68">
        <f>873893.88+262707.95</f>
        <v>1136601.83</v>
      </c>
      <c r="V239" s="216">
        <f>894310.53+268873.78</f>
        <v>1163184.31</v>
      </c>
      <c r="W239" s="215">
        <v>0</v>
      </c>
      <c r="X239" s="215">
        <v>0</v>
      </c>
      <c r="Y239" s="216">
        <f>873893.88+262707.95</f>
        <v>1136601.83</v>
      </c>
      <c r="Z239" s="217">
        <f>894310.53+268873.78</f>
        <v>1163184.31</v>
      </c>
      <c r="AA239" s="216">
        <v>0</v>
      </c>
      <c r="AB239" s="216">
        <f>894310.53+268873.78</f>
        <v>1163184.31</v>
      </c>
    </row>
    <row r="240" spans="1:28" ht="25.5" x14ac:dyDescent="0.2">
      <c r="A240" s="212" t="s">
        <v>52</v>
      </c>
      <c r="B240" s="58" t="s">
        <v>109</v>
      </c>
      <c r="C240" s="78" t="s">
        <v>69</v>
      </c>
      <c r="D240" s="80" t="s">
        <v>71</v>
      </c>
      <c r="E240" s="103" t="s">
        <v>5</v>
      </c>
      <c r="F240" s="66" t="s">
        <v>135</v>
      </c>
      <c r="G240" s="66" t="s">
        <v>135</v>
      </c>
      <c r="H240" s="66" t="s">
        <v>135</v>
      </c>
      <c r="I240" s="66" t="s">
        <v>283</v>
      </c>
      <c r="J240" s="67" t="s">
        <v>134</v>
      </c>
      <c r="K240" s="309">
        <v>200</v>
      </c>
      <c r="L240" s="68"/>
      <c r="M240" s="69"/>
      <c r="N240" s="216">
        <f t="shared" ref="N240:AB240" si="108">N241</f>
        <v>166295.14000000001</v>
      </c>
      <c r="O240" s="216">
        <f t="shared" si="108"/>
        <v>0</v>
      </c>
      <c r="P240" s="216">
        <f t="shared" si="108"/>
        <v>166295.14000000001</v>
      </c>
      <c r="Q240" s="68">
        <f t="shared" si="108"/>
        <v>85145.14</v>
      </c>
      <c r="R240" s="216">
        <f t="shared" si="108"/>
        <v>0</v>
      </c>
      <c r="S240" s="216">
        <f t="shared" si="108"/>
        <v>0</v>
      </c>
      <c r="T240" s="216">
        <f t="shared" si="108"/>
        <v>166295.14000000001</v>
      </c>
      <c r="U240" s="68">
        <f t="shared" si="108"/>
        <v>85145.14</v>
      </c>
      <c r="V240" s="216">
        <f t="shared" si="108"/>
        <v>85145.14</v>
      </c>
      <c r="W240" s="215">
        <f t="shared" si="108"/>
        <v>0</v>
      </c>
      <c r="X240" s="215">
        <f t="shared" si="108"/>
        <v>0</v>
      </c>
      <c r="Y240" s="216">
        <f t="shared" si="108"/>
        <v>85145.14</v>
      </c>
      <c r="Z240" s="217">
        <f t="shared" si="108"/>
        <v>85145.14</v>
      </c>
      <c r="AA240" s="216">
        <f t="shared" si="108"/>
        <v>0</v>
      </c>
      <c r="AB240" s="216">
        <f t="shared" si="108"/>
        <v>85145.14</v>
      </c>
    </row>
    <row r="241" spans="1:28" ht="25.5" x14ac:dyDescent="0.2">
      <c r="A241" s="212" t="s">
        <v>54</v>
      </c>
      <c r="B241" s="58" t="s">
        <v>109</v>
      </c>
      <c r="C241" s="78" t="s">
        <v>69</v>
      </c>
      <c r="D241" s="80" t="s">
        <v>71</v>
      </c>
      <c r="E241" s="103" t="s">
        <v>5</v>
      </c>
      <c r="F241" s="66" t="s">
        <v>135</v>
      </c>
      <c r="G241" s="66" t="s">
        <v>135</v>
      </c>
      <c r="H241" s="66" t="s">
        <v>135</v>
      </c>
      <c r="I241" s="66" t="s">
        <v>283</v>
      </c>
      <c r="J241" s="67" t="s">
        <v>134</v>
      </c>
      <c r="K241" s="309">
        <v>240</v>
      </c>
      <c r="L241" s="68"/>
      <c r="M241" s="69"/>
      <c r="N241" s="216">
        <v>166295.14000000001</v>
      </c>
      <c r="O241" s="216">
        <v>0</v>
      </c>
      <c r="P241" s="216">
        <v>166295.14000000001</v>
      </c>
      <c r="Q241" s="68">
        <v>85145.14</v>
      </c>
      <c r="R241" s="216">
        <v>0</v>
      </c>
      <c r="S241" s="216">
        <v>0</v>
      </c>
      <c r="T241" s="216">
        <v>166295.14000000001</v>
      </c>
      <c r="U241" s="68">
        <v>85145.14</v>
      </c>
      <c r="V241" s="216">
        <v>85145.14</v>
      </c>
      <c r="W241" s="215">
        <v>0</v>
      </c>
      <c r="X241" s="215">
        <v>0</v>
      </c>
      <c r="Y241" s="216">
        <v>85145.14</v>
      </c>
      <c r="Z241" s="217">
        <v>85145.14</v>
      </c>
      <c r="AA241" s="216">
        <v>0</v>
      </c>
      <c r="AB241" s="216">
        <v>85145.14</v>
      </c>
    </row>
    <row r="242" spans="1:28" x14ac:dyDescent="0.2">
      <c r="A242" s="212" t="s">
        <v>193</v>
      </c>
      <c r="B242" s="58" t="s">
        <v>109</v>
      </c>
      <c r="C242" s="77" t="s">
        <v>69</v>
      </c>
      <c r="D242" s="78" t="s">
        <v>73</v>
      </c>
      <c r="E242" s="66"/>
      <c r="F242" s="66"/>
      <c r="G242" s="66"/>
      <c r="H242" s="66"/>
      <c r="I242" s="66"/>
      <c r="J242" s="67"/>
      <c r="K242" s="309"/>
      <c r="L242" s="68">
        <f t="shared" ref="L242:P245" si="109">L243</f>
        <v>141147.63</v>
      </c>
      <c r="M242" s="69">
        <f t="shared" si="109"/>
        <v>0</v>
      </c>
      <c r="N242" s="216">
        <f>N243</f>
        <v>1040.97</v>
      </c>
      <c r="O242" s="216">
        <f>O243</f>
        <v>2602.4299999999998</v>
      </c>
      <c r="P242" s="216">
        <f>P243</f>
        <v>3643.3999999999996</v>
      </c>
      <c r="Q242" s="68">
        <f t="shared" ref="Q242:AB245" si="110">Q243</f>
        <v>928.54</v>
      </c>
      <c r="R242" s="216">
        <f t="shared" si="110"/>
        <v>2854.96</v>
      </c>
      <c r="S242" s="216">
        <f>S243</f>
        <v>0</v>
      </c>
      <c r="T242" s="216">
        <f>T243</f>
        <v>3643.4</v>
      </c>
      <c r="U242" s="68">
        <f t="shared" si="110"/>
        <v>3783.5</v>
      </c>
      <c r="V242" s="216">
        <f t="shared" si="110"/>
        <v>928.58</v>
      </c>
      <c r="W242" s="215">
        <f t="shared" si="110"/>
        <v>138645.91</v>
      </c>
      <c r="X242" s="215">
        <f t="shared" si="110"/>
        <v>0</v>
      </c>
      <c r="Y242" s="216">
        <f t="shared" si="110"/>
        <v>3783.5</v>
      </c>
      <c r="Z242" s="217">
        <f t="shared" si="110"/>
        <v>139574.49</v>
      </c>
      <c r="AA242" s="216">
        <f t="shared" si="110"/>
        <v>0</v>
      </c>
      <c r="AB242" s="216">
        <f t="shared" si="110"/>
        <v>139574.49</v>
      </c>
    </row>
    <row r="243" spans="1:28" ht="25.5" x14ac:dyDescent="0.2">
      <c r="A243" s="212" t="s">
        <v>31</v>
      </c>
      <c r="B243" s="58" t="s">
        <v>109</v>
      </c>
      <c r="C243" s="77" t="s">
        <v>69</v>
      </c>
      <c r="D243" s="78" t="s">
        <v>73</v>
      </c>
      <c r="E243" s="66" t="s">
        <v>5</v>
      </c>
      <c r="F243" s="66" t="s">
        <v>135</v>
      </c>
      <c r="G243" s="66" t="s">
        <v>135</v>
      </c>
      <c r="H243" s="66" t="s">
        <v>135</v>
      </c>
      <c r="I243" s="66" t="s">
        <v>136</v>
      </c>
      <c r="J243" s="67" t="s">
        <v>135</v>
      </c>
      <c r="K243" s="309"/>
      <c r="L243" s="68">
        <f t="shared" si="109"/>
        <v>141147.63</v>
      </c>
      <c r="M243" s="69">
        <f t="shared" si="109"/>
        <v>0</v>
      </c>
      <c r="N243" s="216">
        <f t="shared" si="109"/>
        <v>1040.97</v>
      </c>
      <c r="O243" s="216">
        <f t="shared" si="109"/>
        <v>2602.4299999999998</v>
      </c>
      <c r="P243" s="216">
        <f t="shared" si="109"/>
        <v>3643.3999999999996</v>
      </c>
      <c r="Q243" s="68">
        <f t="shared" si="110"/>
        <v>928.54</v>
      </c>
      <c r="R243" s="216">
        <f t="shared" si="110"/>
        <v>2854.96</v>
      </c>
      <c r="S243" s="216">
        <f t="shared" si="110"/>
        <v>0</v>
      </c>
      <c r="T243" s="216">
        <f t="shared" si="110"/>
        <v>3643.4</v>
      </c>
      <c r="U243" s="68">
        <f t="shared" si="110"/>
        <v>3783.5</v>
      </c>
      <c r="V243" s="216">
        <f t="shared" si="110"/>
        <v>928.58</v>
      </c>
      <c r="W243" s="215">
        <f t="shared" si="110"/>
        <v>138645.91</v>
      </c>
      <c r="X243" s="215">
        <f t="shared" si="110"/>
        <v>0</v>
      </c>
      <c r="Y243" s="216">
        <f t="shared" si="110"/>
        <v>3783.5</v>
      </c>
      <c r="Z243" s="217">
        <f t="shared" si="110"/>
        <v>139574.49</v>
      </c>
      <c r="AA243" s="216">
        <f t="shared" si="110"/>
        <v>0</v>
      </c>
      <c r="AB243" s="216">
        <f t="shared" si="110"/>
        <v>139574.49</v>
      </c>
    </row>
    <row r="244" spans="1:28" ht="69.75" customHeight="1" x14ac:dyDescent="0.2">
      <c r="A244" s="212" t="s">
        <v>295</v>
      </c>
      <c r="B244" s="58" t="s">
        <v>109</v>
      </c>
      <c r="C244" s="77" t="s">
        <v>69</v>
      </c>
      <c r="D244" s="78" t="s">
        <v>73</v>
      </c>
      <c r="E244" s="66" t="s">
        <v>5</v>
      </c>
      <c r="F244" s="66" t="s">
        <v>135</v>
      </c>
      <c r="G244" s="66" t="s">
        <v>135</v>
      </c>
      <c r="H244" s="66" t="s">
        <v>135</v>
      </c>
      <c r="I244" s="66" t="s">
        <v>192</v>
      </c>
      <c r="J244" s="67" t="s">
        <v>137</v>
      </c>
      <c r="K244" s="309"/>
      <c r="L244" s="68">
        <f t="shared" si="109"/>
        <v>141147.63</v>
      </c>
      <c r="M244" s="69">
        <f t="shared" si="109"/>
        <v>0</v>
      </c>
      <c r="N244" s="216">
        <f t="shared" si="109"/>
        <v>1040.97</v>
      </c>
      <c r="O244" s="216">
        <f t="shared" si="109"/>
        <v>2602.4299999999998</v>
      </c>
      <c r="P244" s="216">
        <f t="shared" si="109"/>
        <v>3643.3999999999996</v>
      </c>
      <c r="Q244" s="68">
        <f t="shared" si="110"/>
        <v>928.54</v>
      </c>
      <c r="R244" s="216">
        <f t="shared" si="110"/>
        <v>2854.96</v>
      </c>
      <c r="S244" s="216">
        <f t="shared" si="110"/>
        <v>0</v>
      </c>
      <c r="T244" s="216">
        <f t="shared" si="110"/>
        <v>3643.4</v>
      </c>
      <c r="U244" s="68">
        <f t="shared" si="110"/>
        <v>3783.5</v>
      </c>
      <c r="V244" s="216">
        <f t="shared" si="110"/>
        <v>928.58</v>
      </c>
      <c r="W244" s="215">
        <f t="shared" si="110"/>
        <v>138645.91</v>
      </c>
      <c r="X244" s="215">
        <f t="shared" si="110"/>
        <v>0</v>
      </c>
      <c r="Y244" s="216">
        <f t="shared" si="110"/>
        <v>3783.5</v>
      </c>
      <c r="Z244" s="217">
        <f t="shared" si="110"/>
        <v>139574.49</v>
      </c>
      <c r="AA244" s="216">
        <f t="shared" si="110"/>
        <v>0</v>
      </c>
      <c r="AB244" s="216">
        <f t="shared" si="110"/>
        <v>139574.49</v>
      </c>
    </row>
    <row r="245" spans="1:28" ht="25.5" x14ac:dyDescent="0.2">
      <c r="A245" s="212" t="s">
        <v>52</v>
      </c>
      <c r="B245" s="58" t="s">
        <v>109</v>
      </c>
      <c r="C245" s="77" t="s">
        <v>69</v>
      </c>
      <c r="D245" s="78" t="s">
        <v>73</v>
      </c>
      <c r="E245" s="66" t="s">
        <v>5</v>
      </c>
      <c r="F245" s="66" t="s">
        <v>135</v>
      </c>
      <c r="G245" s="66" t="s">
        <v>135</v>
      </c>
      <c r="H245" s="66" t="s">
        <v>135</v>
      </c>
      <c r="I245" s="66" t="s">
        <v>192</v>
      </c>
      <c r="J245" s="67" t="s">
        <v>137</v>
      </c>
      <c r="K245" s="309" t="s">
        <v>53</v>
      </c>
      <c r="L245" s="68">
        <f t="shared" si="109"/>
        <v>141147.63</v>
      </c>
      <c r="M245" s="69">
        <f t="shared" si="109"/>
        <v>0</v>
      </c>
      <c r="N245" s="216">
        <f t="shared" si="109"/>
        <v>1040.97</v>
      </c>
      <c r="O245" s="216">
        <f t="shared" si="109"/>
        <v>2602.4299999999998</v>
      </c>
      <c r="P245" s="216">
        <f t="shared" si="109"/>
        <v>3643.3999999999996</v>
      </c>
      <c r="Q245" s="68">
        <f t="shared" si="110"/>
        <v>928.54</v>
      </c>
      <c r="R245" s="216">
        <f t="shared" si="110"/>
        <v>2854.96</v>
      </c>
      <c r="S245" s="216">
        <f t="shared" si="110"/>
        <v>0</v>
      </c>
      <c r="T245" s="216">
        <f t="shared" si="110"/>
        <v>3643.4</v>
      </c>
      <c r="U245" s="68">
        <f t="shared" si="110"/>
        <v>3783.5</v>
      </c>
      <c r="V245" s="216">
        <f t="shared" si="110"/>
        <v>928.58</v>
      </c>
      <c r="W245" s="215">
        <f t="shared" si="110"/>
        <v>138645.91</v>
      </c>
      <c r="X245" s="215">
        <f t="shared" si="110"/>
        <v>0</v>
      </c>
      <c r="Y245" s="216">
        <f t="shared" si="110"/>
        <v>3783.5</v>
      </c>
      <c r="Z245" s="217">
        <f t="shared" si="110"/>
        <v>139574.49</v>
      </c>
      <c r="AA245" s="216">
        <f t="shared" si="110"/>
        <v>0</v>
      </c>
      <c r="AB245" s="216">
        <f t="shared" si="110"/>
        <v>139574.49</v>
      </c>
    </row>
    <row r="246" spans="1:28" ht="25.5" x14ac:dyDescent="0.2">
      <c r="A246" s="212" t="s">
        <v>54</v>
      </c>
      <c r="B246" s="58" t="s">
        <v>109</v>
      </c>
      <c r="C246" s="77" t="s">
        <v>69</v>
      </c>
      <c r="D246" s="78" t="s">
        <v>73</v>
      </c>
      <c r="E246" s="66" t="s">
        <v>5</v>
      </c>
      <c r="F246" s="66" t="s">
        <v>135</v>
      </c>
      <c r="G246" s="66" t="s">
        <v>135</v>
      </c>
      <c r="H246" s="66" t="s">
        <v>135</v>
      </c>
      <c r="I246" s="66" t="s">
        <v>192</v>
      </c>
      <c r="J246" s="67" t="s">
        <v>137</v>
      </c>
      <c r="K246" s="309" t="s">
        <v>55</v>
      </c>
      <c r="L246" s="68">
        <v>141147.63</v>
      </c>
      <c r="M246" s="69">
        <v>0</v>
      </c>
      <c r="N246" s="216">
        <v>1040.97</v>
      </c>
      <c r="O246" s="216">
        <v>2602.4299999999998</v>
      </c>
      <c r="P246" s="216">
        <f>O246+N246</f>
        <v>3643.3999999999996</v>
      </c>
      <c r="Q246" s="68">
        <v>928.54</v>
      </c>
      <c r="R246" s="216">
        <v>2854.96</v>
      </c>
      <c r="S246" s="216">
        <v>0</v>
      </c>
      <c r="T246" s="216">
        <v>3643.4</v>
      </c>
      <c r="U246" s="68">
        <f>R246+Q246</f>
        <v>3783.5</v>
      </c>
      <c r="V246" s="216">
        <v>928.58</v>
      </c>
      <c r="W246" s="215">
        <v>138645.91</v>
      </c>
      <c r="X246" s="215">
        <v>0</v>
      </c>
      <c r="Y246" s="216">
        <v>3783.5</v>
      </c>
      <c r="Z246" s="217">
        <f>W246+V246</f>
        <v>139574.49</v>
      </c>
      <c r="AA246" s="216">
        <v>0</v>
      </c>
      <c r="AB246" s="216">
        <v>139574.49</v>
      </c>
    </row>
    <row r="247" spans="1:28" x14ac:dyDescent="0.2">
      <c r="A247" s="207" t="s">
        <v>98</v>
      </c>
      <c r="B247" s="58" t="s">
        <v>109</v>
      </c>
      <c r="C247" s="58" t="s">
        <v>69</v>
      </c>
      <c r="D247" s="59" t="s">
        <v>120</v>
      </c>
      <c r="E247" s="60"/>
      <c r="F247" s="60"/>
      <c r="G247" s="66"/>
      <c r="H247" s="66"/>
      <c r="I247" s="60"/>
      <c r="J247" s="76"/>
      <c r="K247" s="408"/>
      <c r="L247" s="101" t="e">
        <f>#REF!+#REF!+L267</f>
        <v>#REF!</v>
      </c>
      <c r="M247" s="102" t="e">
        <f>#REF!+#REF!+M267</f>
        <v>#REF!</v>
      </c>
      <c r="N247" s="248">
        <f t="shared" ref="N247:O247" si="111">N267+N281+N274</f>
        <v>46248420.539999999</v>
      </c>
      <c r="O247" s="248">
        <f t="shared" si="111"/>
        <v>0</v>
      </c>
      <c r="P247" s="248">
        <f>P248+P263+P267+P274+P281</f>
        <v>47023493.939999998</v>
      </c>
      <c r="Q247" s="248">
        <f t="shared" ref="Q247:AB247" si="112">Q248+Q263+Q267+Q274+Q281</f>
        <v>47909089.189999998</v>
      </c>
      <c r="R247" s="248">
        <f t="shared" si="112"/>
        <v>0</v>
      </c>
      <c r="S247" s="248">
        <f t="shared" si="112"/>
        <v>440900.33999999985</v>
      </c>
      <c r="T247" s="248">
        <f t="shared" si="112"/>
        <v>47464394.279999994</v>
      </c>
      <c r="U247" s="249">
        <f t="shared" si="112"/>
        <v>42404294.140000001</v>
      </c>
      <c r="V247" s="248">
        <f t="shared" si="112"/>
        <v>46999623.239999995</v>
      </c>
      <c r="W247" s="248">
        <f t="shared" si="112"/>
        <v>457417.43</v>
      </c>
      <c r="X247" s="473">
        <f t="shared" si="112"/>
        <v>5108475.05</v>
      </c>
      <c r="Y247" s="248">
        <f t="shared" si="112"/>
        <v>47512769.189999998</v>
      </c>
      <c r="Z247" s="249">
        <f t="shared" si="112"/>
        <v>42404294.140000001</v>
      </c>
      <c r="AA247" s="248">
        <f t="shared" si="112"/>
        <v>2603475.0499999998</v>
      </c>
      <c r="AB247" s="248">
        <f t="shared" si="112"/>
        <v>45007769.189999998</v>
      </c>
    </row>
    <row r="248" spans="1:28" ht="38.25" x14ac:dyDescent="0.2">
      <c r="A248" s="207" t="s">
        <v>356</v>
      </c>
      <c r="B248" s="58" t="s">
        <v>109</v>
      </c>
      <c r="C248" s="58" t="s">
        <v>69</v>
      </c>
      <c r="D248" s="59" t="s">
        <v>120</v>
      </c>
      <c r="E248" s="60" t="s">
        <v>72</v>
      </c>
      <c r="F248" s="60" t="s">
        <v>135</v>
      </c>
      <c r="G248" s="66" t="s">
        <v>135</v>
      </c>
      <c r="H248" s="66" t="s">
        <v>135</v>
      </c>
      <c r="I248" s="60" t="s">
        <v>451</v>
      </c>
      <c r="J248" s="76" t="s">
        <v>135</v>
      </c>
      <c r="K248" s="408"/>
      <c r="L248" s="101"/>
      <c r="M248" s="102"/>
      <c r="N248" s="248"/>
      <c r="O248" s="248"/>
      <c r="P248" s="248">
        <f>P249+P254+P257+P260</f>
        <v>0</v>
      </c>
      <c r="Q248" s="248">
        <f t="shared" ref="Q248:AB248" si="113">Q249+Q254+Q257+Q260</f>
        <v>5108475.05</v>
      </c>
      <c r="R248" s="248">
        <f t="shared" si="113"/>
        <v>0</v>
      </c>
      <c r="S248" s="248">
        <f t="shared" si="113"/>
        <v>2191224.5699999998</v>
      </c>
      <c r="T248" s="248">
        <f t="shared" si="113"/>
        <v>2191224.5699999998</v>
      </c>
      <c r="U248" s="249">
        <f t="shared" si="113"/>
        <v>0</v>
      </c>
      <c r="V248" s="248">
        <f t="shared" si="113"/>
        <v>2603475.0499999998</v>
      </c>
      <c r="W248" s="248">
        <f t="shared" si="113"/>
        <v>0</v>
      </c>
      <c r="X248" s="473">
        <f t="shared" si="113"/>
        <v>5108475.05</v>
      </c>
      <c r="Y248" s="248">
        <f t="shared" si="113"/>
        <v>5108475.05</v>
      </c>
      <c r="Z248" s="249">
        <f t="shared" si="113"/>
        <v>0</v>
      </c>
      <c r="AA248" s="248">
        <f t="shared" si="113"/>
        <v>2603475.0499999998</v>
      </c>
      <c r="AB248" s="248">
        <f t="shared" si="113"/>
        <v>2603475.0499999998</v>
      </c>
    </row>
    <row r="249" spans="1:28" ht="25.5" x14ac:dyDescent="0.2">
      <c r="A249" s="258" t="s">
        <v>355</v>
      </c>
      <c r="B249" s="58" t="s">
        <v>109</v>
      </c>
      <c r="C249" s="59" t="s">
        <v>69</v>
      </c>
      <c r="D249" s="58" t="s">
        <v>120</v>
      </c>
      <c r="E249" s="77" t="s">
        <v>72</v>
      </c>
      <c r="F249" s="79" t="s">
        <v>135</v>
      </c>
      <c r="G249" s="66" t="s">
        <v>135</v>
      </c>
      <c r="H249" s="66" t="s">
        <v>135</v>
      </c>
      <c r="I249" s="79" t="s">
        <v>198</v>
      </c>
      <c r="J249" s="67" t="s">
        <v>135</v>
      </c>
      <c r="K249" s="372"/>
      <c r="L249" s="64" t="e">
        <f>L250+L252+#REF!</f>
        <v>#REF!</v>
      </c>
      <c r="M249" s="65" t="e">
        <f>M250+M252+#REF!</f>
        <v>#REF!</v>
      </c>
      <c r="N249" s="224" t="e">
        <f>N250+N252+#REF!</f>
        <v>#REF!</v>
      </c>
      <c r="O249" s="224" t="e">
        <f>O250+O252+#REF!</f>
        <v>#REF!</v>
      </c>
      <c r="P249" s="224">
        <f>P250+P252</f>
        <v>0</v>
      </c>
      <c r="Q249" s="224">
        <f t="shared" ref="Q249:AB249" si="114">Q250+Q252</f>
        <v>325000</v>
      </c>
      <c r="R249" s="224">
        <f t="shared" si="114"/>
        <v>0</v>
      </c>
      <c r="S249" s="224">
        <f t="shared" si="114"/>
        <v>0</v>
      </c>
      <c r="T249" s="224">
        <f t="shared" si="114"/>
        <v>0</v>
      </c>
      <c r="U249" s="225">
        <f t="shared" si="114"/>
        <v>0</v>
      </c>
      <c r="V249" s="224">
        <f t="shared" si="114"/>
        <v>410000</v>
      </c>
      <c r="W249" s="224">
        <f t="shared" si="114"/>
        <v>0</v>
      </c>
      <c r="X249" s="223">
        <f t="shared" si="114"/>
        <v>325000</v>
      </c>
      <c r="Y249" s="224">
        <f t="shared" si="114"/>
        <v>325000</v>
      </c>
      <c r="Z249" s="225">
        <f t="shared" si="114"/>
        <v>0</v>
      </c>
      <c r="AA249" s="224">
        <f t="shared" si="114"/>
        <v>410000</v>
      </c>
      <c r="AB249" s="224">
        <f t="shared" si="114"/>
        <v>410000</v>
      </c>
    </row>
    <row r="250" spans="1:28" ht="51" x14ac:dyDescent="0.2">
      <c r="A250" s="212" t="s">
        <v>67</v>
      </c>
      <c r="B250" s="58" t="s">
        <v>109</v>
      </c>
      <c r="C250" s="59" t="s">
        <v>69</v>
      </c>
      <c r="D250" s="58" t="s">
        <v>120</v>
      </c>
      <c r="E250" s="77" t="s">
        <v>72</v>
      </c>
      <c r="F250" s="79" t="s">
        <v>135</v>
      </c>
      <c r="G250" s="66" t="s">
        <v>135</v>
      </c>
      <c r="H250" s="66" t="s">
        <v>135</v>
      </c>
      <c r="I250" s="79" t="s">
        <v>198</v>
      </c>
      <c r="J250" s="67" t="s">
        <v>135</v>
      </c>
      <c r="K250" s="372" t="s">
        <v>60</v>
      </c>
      <c r="L250" s="64">
        <f t="shared" ref="L250:AB250" si="115">L251</f>
        <v>30000</v>
      </c>
      <c r="M250" s="65">
        <f t="shared" si="115"/>
        <v>0</v>
      </c>
      <c r="N250" s="224">
        <f t="shared" si="115"/>
        <v>0</v>
      </c>
      <c r="O250" s="224">
        <f t="shared" si="115"/>
        <v>0</v>
      </c>
      <c r="P250" s="224">
        <f t="shared" si="115"/>
        <v>0</v>
      </c>
      <c r="Q250" s="223">
        <f t="shared" si="115"/>
        <v>30000</v>
      </c>
      <c r="R250" s="224">
        <f t="shared" si="115"/>
        <v>0</v>
      </c>
      <c r="S250" s="224">
        <f t="shared" si="115"/>
        <v>0</v>
      </c>
      <c r="T250" s="224">
        <f t="shared" si="115"/>
        <v>0</v>
      </c>
      <c r="U250" s="225">
        <f t="shared" si="115"/>
        <v>0</v>
      </c>
      <c r="V250" s="224">
        <f t="shared" si="115"/>
        <v>30000</v>
      </c>
      <c r="W250" s="223">
        <f t="shared" si="115"/>
        <v>0</v>
      </c>
      <c r="X250" s="223">
        <f t="shared" si="115"/>
        <v>30000</v>
      </c>
      <c r="Y250" s="224">
        <f t="shared" si="115"/>
        <v>30000</v>
      </c>
      <c r="Z250" s="225">
        <f t="shared" si="115"/>
        <v>0</v>
      </c>
      <c r="AA250" s="224">
        <f t="shared" si="115"/>
        <v>30000</v>
      </c>
      <c r="AB250" s="224">
        <f t="shared" si="115"/>
        <v>30000</v>
      </c>
    </row>
    <row r="251" spans="1:28" ht="25.5" x14ac:dyDescent="0.2">
      <c r="A251" s="212" t="s">
        <v>61</v>
      </c>
      <c r="B251" s="58" t="s">
        <v>109</v>
      </c>
      <c r="C251" s="59" t="s">
        <v>69</v>
      </c>
      <c r="D251" s="58" t="s">
        <v>120</v>
      </c>
      <c r="E251" s="77" t="s">
        <v>72</v>
      </c>
      <c r="F251" s="79" t="s">
        <v>135</v>
      </c>
      <c r="G251" s="66" t="s">
        <v>135</v>
      </c>
      <c r="H251" s="66" t="s">
        <v>135</v>
      </c>
      <c r="I251" s="79" t="s">
        <v>198</v>
      </c>
      <c r="J251" s="67" t="s">
        <v>135</v>
      </c>
      <c r="K251" s="372" t="s">
        <v>171</v>
      </c>
      <c r="L251" s="64">
        <v>30000</v>
      </c>
      <c r="M251" s="65">
        <v>0</v>
      </c>
      <c r="N251" s="224">
        <v>0</v>
      </c>
      <c r="O251" s="224">
        <v>0</v>
      </c>
      <c r="P251" s="224">
        <v>0</v>
      </c>
      <c r="Q251" s="223">
        <v>30000</v>
      </c>
      <c r="R251" s="224">
        <v>0</v>
      </c>
      <c r="S251" s="224">
        <v>0</v>
      </c>
      <c r="T251" s="224">
        <v>0</v>
      </c>
      <c r="U251" s="225">
        <v>0</v>
      </c>
      <c r="V251" s="224">
        <v>30000</v>
      </c>
      <c r="W251" s="223">
        <v>0</v>
      </c>
      <c r="X251" s="223">
        <v>30000</v>
      </c>
      <c r="Y251" s="224">
        <f>X251+U251</f>
        <v>30000</v>
      </c>
      <c r="Z251" s="225">
        <v>0</v>
      </c>
      <c r="AA251" s="224">
        <v>30000</v>
      </c>
      <c r="AB251" s="224">
        <f>AA251+Z251</f>
        <v>30000</v>
      </c>
    </row>
    <row r="252" spans="1:28" ht="25.5" x14ac:dyDescent="0.2">
      <c r="A252" s="212" t="s">
        <v>52</v>
      </c>
      <c r="B252" s="58" t="s">
        <v>109</v>
      </c>
      <c r="C252" s="59" t="s">
        <v>69</v>
      </c>
      <c r="D252" s="58" t="s">
        <v>120</v>
      </c>
      <c r="E252" s="77" t="s">
        <v>72</v>
      </c>
      <c r="F252" s="79" t="s">
        <v>135</v>
      </c>
      <c r="G252" s="66" t="s">
        <v>135</v>
      </c>
      <c r="H252" s="66" t="s">
        <v>135</v>
      </c>
      <c r="I252" s="79" t="s">
        <v>198</v>
      </c>
      <c r="J252" s="67" t="s">
        <v>135</v>
      </c>
      <c r="K252" s="372" t="s">
        <v>53</v>
      </c>
      <c r="L252" s="64">
        <f t="shared" ref="L252:AB252" si="116">L253</f>
        <v>40000</v>
      </c>
      <c r="M252" s="65">
        <f t="shared" si="116"/>
        <v>0</v>
      </c>
      <c r="N252" s="224">
        <f t="shared" si="116"/>
        <v>0</v>
      </c>
      <c r="O252" s="224">
        <f t="shared" si="116"/>
        <v>0</v>
      </c>
      <c r="P252" s="224">
        <f t="shared" si="116"/>
        <v>0</v>
      </c>
      <c r="Q252" s="223">
        <f t="shared" si="116"/>
        <v>295000</v>
      </c>
      <c r="R252" s="224">
        <f t="shared" si="116"/>
        <v>0</v>
      </c>
      <c r="S252" s="224">
        <f t="shared" si="116"/>
        <v>0</v>
      </c>
      <c r="T252" s="224">
        <f t="shared" si="116"/>
        <v>0</v>
      </c>
      <c r="U252" s="225">
        <f t="shared" si="116"/>
        <v>0</v>
      </c>
      <c r="V252" s="224">
        <f t="shared" si="116"/>
        <v>380000</v>
      </c>
      <c r="W252" s="223">
        <f t="shared" si="116"/>
        <v>0</v>
      </c>
      <c r="X252" s="223">
        <f t="shared" si="116"/>
        <v>295000</v>
      </c>
      <c r="Y252" s="224">
        <f t="shared" si="116"/>
        <v>295000</v>
      </c>
      <c r="Z252" s="225">
        <f t="shared" si="116"/>
        <v>0</v>
      </c>
      <c r="AA252" s="224">
        <f t="shared" si="116"/>
        <v>380000</v>
      </c>
      <c r="AB252" s="224">
        <f t="shared" si="116"/>
        <v>380000</v>
      </c>
    </row>
    <row r="253" spans="1:28" ht="25.5" x14ac:dyDescent="0.2">
      <c r="A253" s="212" t="s">
        <v>54</v>
      </c>
      <c r="B253" s="58" t="s">
        <v>109</v>
      </c>
      <c r="C253" s="59" t="s">
        <v>69</v>
      </c>
      <c r="D253" s="58" t="s">
        <v>120</v>
      </c>
      <c r="E253" s="77" t="s">
        <v>72</v>
      </c>
      <c r="F253" s="79" t="s">
        <v>135</v>
      </c>
      <c r="G253" s="66" t="s">
        <v>135</v>
      </c>
      <c r="H253" s="66" t="s">
        <v>135</v>
      </c>
      <c r="I253" s="79" t="s">
        <v>198</v>
      </c>
      <c r="J253" s="67" t="s">
        <v>135</v>
      </c>
      <c r="K253" s="372" t="s">
        <v>55</v>
      </c>
      <c r="L253" s="64">
        <v>40000</v>
      </c>
      <c r="M253" s="65">
        <v>0</v>
      </c>
      <c r="N253" s="224">
        <v>0</v>
      </c>
      <c r="O253" s="224">
        <v>0</v>
      </c>
      <c r="P253" s="224">
        <v>0</v>
      </c>
      <c r="Q253" s="223">
        <v>295000</v>
      </c>
      <c r="R253" s="224">
        <v>0</v>
      </c>
      <c r="S253" s="224">
        <v>0</v>
      </c>
      <c r="T253" s="224">
        <v>0</v>
      </c>
      <c r="U253" s="225">
        <v>0</v>
      </c>
      <c r="V253" s="224">
        <v>380000</v>
      </c>
      <c r="W253" s="223">
        <v>0</v>
      </c>
      <c r="X253" s="223">
        <v>295000</v>
      </c>
      <c r="Y253" s="224">
        <f>X253+U253</f>
        <v>295000</v>
      </c>
      <c r="Z253" s="225">
        <v>0</v>
      </c>
      <c r="AA253" s="224">
        <v>380000</v>
      </c>
      <c r="AB253" s="224">
        <f>AA253+Z253</f>
        <v>380000</v>
      </c>
    </row>
    <row r="254" spans="1:28" ht="51" x14ac:dyDescent="0.2">
      <c r="A254" s="212" t="s">
        <v>373</v>
      </c>
      <c r="B254" s="58" t="s">
        <v>109</v>
      </c>
      <c r="C254" s="59" t="s">
        <v>69</v>
      </c>
      <c r="D254" s="58" t="s">
        <v>120</v>
      </c>
      <c r="E254" s="58" t="s">
        <v>72</v>
      </c>
      <c r="F254" s="60" t="s">
        <v>135</v>
      </c>
      <c r="G254" s="66" t="s">
        <v>135</v>
      </c>
      <c r="H254" s="66" t="s">
        <v>135</v>
      </c>
      <c r="I254" s="66" t="s">
        <v>182</v>
      </c>
      <c r="J254" s="76" t="s">
        <v>135</v>
      </c>
      <c r="K254" s="408"/>
      <c r="L254" s="68">
        <f t="shared" ref="L254:AB255" si="117">L255</f>
        <v>35000</v>
      </c>
      <c r="M254" s="69">
        <f t="shared" si="117"/>
        <v>0</v>
      </c>
      <c r="N254" s="216">
        <f t="shared" si="117"/>
        <v>0</v>
      </c>
      <c r="O254" s="216">
        <f t="shared" si="117"/>
        <v>20000</v>
      </c>
      <c r="P254" s="216">
        <f t="shared" si="117"/>
        <v>0</v>
      </c>
      <c r="Q254" s="215">
        <f t="shared" si="117"/>
        <v>50000</v>
      </c>
      <c r="R254" s="216">
        <f t="shared" si="117"/>
        <v>0</v>
      </c>
      <c r="S254" s="216">
        <f t="shared" si="117"/>
        <v>20000</v>
      </c>
      <c r="T254" s="216">
        <f t="shared" si="117"/>
        <v>20000</v>
      </c>
      <c r="U254" s="217">
        <f t="shared" si="117"/>
        <v>0</v>
      </c>
      <c r="V254" s="216">
        <f t="shared" si="117"/>
        <v>60000</v>
      </c>
      <c r="W254" s="215">
        <f t="shared" si="117"/>
        <v>0</v>
      </c>
      <c r="X254" s="215">
        <f t="shared" si="117"/>
        <v>50000</v>
      </c>
      <c r="Y254" s="216">
        <f t="shared" si="117"/>
        <v>50000</v>
      </c>
      <c r="Z254" s="217">
        <f t="shared" si="117"/>
        <v>0</v>
      </c>
      <c r="AA254" s="216">
        <f t="shared" si="117"/>
        <v>60000</v>
      </c>
      <c r="AB254" s="216">
        <f t="shared" si="117"/>
        <v>60000</v>
      </c>
    </row>
    <row r="255" spans="1:28" ht="25.5" x14ac:dyDescent="0.2">
      <c r="A255" s="212" t="s">
        <v>21</v>
      </c>
      <c r="B255" s="58" t="s">
        <v>109</v>
      </c>
      <c r="C255" s="59" t="s">
        <v>69</v>
      </c>
      <c r="D255" s="58" t="s">
        <v>120</v>
      </c>
      <c r="E255" s="58" t="s">
        <v>72</v>
      </c>
      <c r="F255" s="60" t="s">
        <v>135</v>
      </c>
      <c r="G255" s="66" t="s">
        <v>135</v>
      </c>
      <c r="H255" s="66" t="s">
        <v>135</v>
      </c>
      <c r="I255" s="66" t="s">
        <v>182</v>
      </c>
      <c r="J255" s="76" t="s">
        <v>135</v>
      </c>
      <c r="K255" s="372" t="s">
        <v>149</v>
      </c>
      <c r="L255" s="68">
        <f t="shared" si="117"/>
        <v>35000</v>
      </c>
      <c r="M255" s="69">
        <f t="shared" si="117"/>
        <v>0</v>
      </c>
      <c r="N255" s="216">
        <f t="shared" si="117"/>
        <v>0</v>
      </c>
      <c r="O255" s="216">
        <f t="shared" si="117"/>
        <v>20000</v>
      </c>
      <c r="P255" s="216">
        <f t="shared" si="117"/>
        <v>0</v>
      </c>
      <c r="Q255" s="215">
        <f t="shared" si="117"/>
        <v>50000</v>
      </c>
      <c r="R255" s="216">
        <f t="shared" si="117"/>
        <v>0</v>
      </c>
      <c r="S255" s="216">
        <f t="shared" si="117"/>
        <v>20000</v>
      </c>
      <c r="T255" s="216">
        <f t="shared" si="117"/>
        <v>20000</v>
      </c>
      <c r="U255" s="217">
        <f t="shared" si="117"/>
        <v>0</v>
      </c>
      <c r="V255" s="216">
        <f t="shared" si="117"/>
        <v>60000</v>
      </c>
      <c r="W255" s="215">
        <f t="shared" si="117"/>
        <v>0</v>
      </c>
      <c r="X255" s="215">
        <f t="shared" si="117"/>
        <v>50000</v>
      </c>
      <c r="Y255" s="216">
        <f t="shared" si="117"/>
        <v>50000</v>
      </c>
      <c r="Z255" s="217">
        <f t="shared" si="117"/>
        <v>0</v>
      </c>
      <c r="AA255" s="216">
        <f t="shared" si="117"/>
        <v>60000</v>
      </c>
      <c r="AB255" s="216">
        <f t="shared" si="117"/>
        <v>60000</v>
      </c>
    </row>
    <row r="256" spans="1:28" ht="50.25" customHeight="1" x14ac:dyDescent="0.2">
      <c r="A256" s="259" t="s">
        <v>209</v>
      </c>
      <c r="B256" s="58" t="s">
        <v>109</v>
      </c>
      <c r="C256" s="59" t="s">
        <v>69</v>
      </c>
      <c r="D256" s="58" t="s">
        <v>120</v>
      </c>
      <c r="E256" s="58" t="s">
        <v>72</v>
      </c>
      <c r="F256" s="60" t="s">
        <v>135</v>
      </c>
      <c r="G256" s="66" t="s">
        <v>135</v>
      </c>
      <c r="H256" s="66" t="s">
        <v>135</v>
      </c>
      <c r="I256" s="66" t="s">
        <v>182</v>
      </c>
      <c r="J256" s="76" t="s">
        <v>135</v>
      </c>
      <c r="K256" s="372" t="s">
        <v>156</v>
      </c>
      <c r="L256" s="68">
        <v>35000</v>
      </c>
      <c r="M256" s="69">
        <v>0</v>
      </c>
      <c r="N256" s="216">
        <v>0</v>
      </c>
      <c r="O256" s="216">
        <v>20000</v>
      </c>
      <c r="P256" s="216">
        <v>0</v>
      </c>
      <c r="Q256" s="215">
        <v>50000</v>
      </c>
      <c r="R256" s="216">
        <v>0</v>
      </c>
      <c r="S256" s="216">
        <v>20000</v>
      </c>
      <c r="T256" s="216">
        <f>S256+P256</f>
        <v>20000</v>
      </c>
      <c r="U256" s="217">
        <v>0</v>
      </c>
      <c r="V256" s="216">
        <v>60000</v>
      </c>
      <c r="W256" s="215">
        <v>0</v>
      </c>
      <c r="X256" s="215">
        <v>50000</v>
      </c>
      <c r="Y256" s="216">
        <f>X256+U256</f>
        <v>50000</v>
      </c>
      <c r="Z256" s="217">
        <v>0</v>
      </c>
      <c r="AA256" s="216">
        <v>60000</v>
      </c>
      <c r="AB256" s="216">
        <f>AA256+Z256</f>
        <v>60000</v>
      </c>
    </row>
    <row r="257" spans="1:28" ht="57" customHeight="1" x14ac:dyDescent="0.2">
      <c r="A257" s="207" t="s">
        <v>302</v>
      </c>
      <c r="B257" s="58" t="s">
        <v>109</v>
      </c>
      <c r="C257" s="59" t="s">
        <v>69</v>
      </c>
      <c r="D257" s="58" t="s">
        <v>120</v>
      </c>
      <c r="E257" s="58" t="s">
        <v>72</v>
      </c>
      <c r="F257" s="60" t="s">
        <v>135</v>
      </c>
      <c r="G257" s="66" t="s">
        <v>135</v>
      </c>
      <c r="H257" s="66" t="s">
        <v>135</v>
      </c>
      <c r="I257" s="66" t="s">
        <v>301</v>
      </c>
      <c r="J257" s="76" t="s">
        <v>135</v>
      </c>
      <c r="K257" s="408"/>
      <c r="L257" s="68">
        <f t="shared" ref="L257:AB258" si="118">L258</f>
        <v>35000</v>
      </c>
      <c r="M257" s="69">
        <f t="shared" si="118"/>
        <v>0</v>
      </c>
      <c r="N257" s="216">
        <f t="shared" si="118"/>
        <v>2171224.5699999998</v>
      </c>
      <c r="O257" s="216">
        <f t="shared" si="118"/>
        <v>0</v>
      </c>
      <c r="P257" s="216">
        <f t="shared" si="118"/>
        <v>0</v>
      </c>
      <c r="Q257" s="215">
        <f t="shared" si="118"/>
        <v>2133475.0499999998</v>
      </c>
      <c r="R257" s="216">
        <f t="shared" si="118"/>
        <v>0</v>
      </c>
      <c r="S257" s="216">
        <f t="shared" si="118"/>
        <v>2171224.5699999998</v>
      </c>
      <c r="T257" s="216">
        <f t="shared" si="118"/>
        <v>2171224.5699999998</v>
      </c>
      <c r="U257" s="217">
        <f t="shared" si="118"/>
        <v>0</v>
      </c>
      <c r="V257" s="216">
        <f t="shared" si="118"/>
        <v>2133475.0499999998</v>
      </c>
      <c r="W257" s="215">
        <f t="shared" si="118"/>
        <v>0</v>
      </c>
      <c r="X257" s="215">
        <f t="shared" si="118"/>
        <v>2133475.0499999998</v>
      </c>
      <c r="Y257" s="216">
        <f t="shared" si="118"/>
        <v>2133475.0499999998</v>
      </c>
      <c r="Z257" s="217">
        <f t="shared" si="118"/>
        <v>0</v>
      </c>
      <c r="AA257" s="216">
        <f t="shared" si="118"/>
        <v>2133475.0499999998</v>
      </c>
      <c r="AB257" s="216">
        <f t="shared" si="118"/>
        <v>2133475.0499999998</v>
      </c>
    </row>
    <row r="258" spans="1:28" ht="25.5" x14ac:dyDescent="0.2">
      <c r="A258" s="212" t="s">
        <v>52</v>
      </c>
      <c r="B258" s="58" t="s">
        <v>109</v>
      </c>
      <c r="C258" s="59" t="s">
        <v>69</v>
      </c>
      <c r="D258" s="58" t="s">
        <v>120</v>
      </c>
      <c r="E258" s="58" t="s">
        <v>72</v>
      </c>
      <c r="F258" s="60" t="s">
        <v>135</v>
      </c>
      <c r="G258" s="66" t="s">
        <v>135</v>
      </c>
      <c r="H258" s="66" t="s">
        <v>135</v>
      </c>
      <c r="I258" s="66" t="s">
        <v>301</v>
      </c>
      <c r="J258" s="76" t="s">
        <v>135</v>
      </c>
      <c r="K258" s="372" t="s">
        <v>53</v>
      </c>
      <c r="L258" s="68">
        <f t="shared" si="118"/>
        <v>35000</v>
      </c>
      <c r="M258" s="69">
        <f t="shared" si="118"/>
        <v>0</v>
      </c>
      <c r="N258" s="216">
        <f t="shared" si="118"/>
        <v>2171224.5699999998</v>
      </c>
      <c r="O258" s="216">
        <f t="shared" si="118"/>
        <v>0</v>
      </c>
      <c r="P258" s="216">
        <f t="shared" si="118"/>
        <v>0</v>
      </c>
      <c r="Q258" s="215">
        <f t="shared" si="118"/>
        <v>2133475.0499999998</v>
      </c>
      <c r="R258" s="216">
        <f t="shared" si="118"/>
        <v>0</v>
      </c>
      <c r="S258" s="216">
        <f t="shared" si="118"/>
        <v>2171224.5699999998</v>
      </c>
      <c r="T258" s="216">
        <f t="shared" si="118"/>
        <v>2171224.5699999998</v>
      </c>
      <c r="U258" s="217">
        <f t="shared" si="118"/>
        <v>0</v>
      </c>
      <c r="V258" s="216">
        <f t="shared" si="118"/>
        <v>2133475.0499999998</v>
      </c>
      <c r="W258" s="215">
        <f t="shared" si="118"/>
        <v>0</v>
      </c>
      <c r="X258" s="215">
        <f t="shared" si="118"/>
        <v>2133475.0499999998</v>
      </c>
      <c r="Y258" s="216">
        <f t="shared" si="118"/>
        <v>2133475.0499999998</v>
      </c>
      <c r="Z258" s="217">
        <f t="shared" si="118"/>
        <v>0</v>
      </c>
      <c r="AA258" s="216">
        <f t="shared" si="118"/>
        <v>2133475.0499999998</v>
      </c>
      <c r="AB258" s="216">
        <f t="shared" si="118"/>
        <v>2133475.0499999998</v>
      </c>
    </row>
    <row r="259" spans="1:28" ht="25.5" x14ac:dyDescent="0.2">
      <c r="A259" s="212" t="s">
        <v>54</v>
      </c>
      <c r="B259" s="58" t="s">
        <v>109</v>
      </c>
      <c r="C259" s="59" t="s">
        <v>69</v>
      </c>
      <c r="D259" s="58" t="s">
        <v>120</v>
      </c>
      <c r="E259" s="58" t="s">
        <v>72</v>
      </c>
      <c r="F259" s="60" t="s">
        <v>135</v>
      </c>
      <c r="G259" s="66" t="s">
        <v>135</v>
      </c>
      <c r="H259" s="66" t="s">
        <v>135</v>
      </c>
      <c r="I259" s="66" t="s">
        <v>301</v>
      </c>
      <c r="J259" s="76" t="s">
        <v>135</v>
      </c>
      <c r="K259" s="372" t="s">
        <v>55</v>
      </c>
      <c r="L259" s="68">
        <v>35000</v>
      </c>
      <c r="M259" s="69">
        <v>0</v>
      </c>
      <c r="N259" s="216">
        <f>1628418.43+542806.14</f>
        <v>2171224.5699999998</v>
      </c>
      <c r="O259" s="216">
        <v>0</v>
      </c>
      <c r="P259" s="216">
        <v>0</v>
      </c>
      <c r="Q259" s="215">
        <f>1600075.05+533400</f>
        <v>2133475.0499999998</v>
      </c>
      <c r="R259" s="216">
        <v>0</v>
      </c>
      <c r="S259" s="216">
        <v>2171224.5699999998</v>
      </c>
      <c r="T259" s="216">
        <f>S259+P259</f>
        <v>2171224.5699999998</v>
      </c>
      <c r="U259" s="217">
        <v>0</v>
      </c>
      <c r="V259" s="216">
        <f>1600075.05+533400</f>
        <v>2133475.0499999998</v>
      </c>
      <c r="W259" s="215">
        <v>0</v>
      </c>
      <c r="X259" s="215">
        <v>2133475.0499999998</v>
      </c>
      <c r="Y259" s="216">
        <f>X259+U259</f>
        <v>2133475.0499999998</v>
      </c>
      <c r="Z259" s="217">
        <v>0</v>
      </c>
      <c r="AA259" s="216">
        <v>2133475.0499999998</v>
      </c>
      <c r="AB259" s="216">
        <f>AA259+Z259</f>
        <v>2133475.0499999998</v>
      </c>
    </row>
    <row r="260" spans="1:28" ht="67.5" customHeight="1" x14ac:dyDescent="0.2">
      <c r="A260" s="212" t="s">
        <v>358</v>
      </c>
      <c r="B260" s="58" t="s">
        <v>109</v>
      </c>
      <c r="C260" s="59" t="s">
        <v>69</v>
      </c>
      <c r="D260" s="58" t="s">
        <v>120</v>
      </c>
      <c r="E260" s="58" t="s">
        <v>72</v>
      </c>
      <c r="F260" s="60" t="s">
        <v>135</v>
      </c>
      <c r="G260" s="66" t="s">
        <v>135</v>
      </c>
      <c r="H260" s="66" t="s">
        <v>135</v>
      </c>
      <c r="I260" s="66" t="s">
        <v>357</v>
      </c>
      <c r="J260" s="76" t="s">
        <v>135</v>
      </c>
      <c r="K260" s="408"/>
      <c r="L260" s="68"/>
      <c r="M260" s="69"/>
      <c r="N260" s="216">
        <f t="shared" ref="N260:AB261" si="119">N261</f>
        <v>0</v>
      </c>
      <c r="O260" s="216">
        <f t="shared" si="119"/>
        <v>700000</v>
      </c>
      <c r="P260" s="216">
        <f t="shared" si="119"/>
        <v>0</v>
      </c>
      <c r="Q260" s="215">
        <f t="shared" si="119"/>
        <v>2600000</v>
      </c>
      <c r="R260" s="216">
        <f t="shared" si="119"/>
        <v>0</v>
      </c>
      <c r="S260" s="216">
        <f t="shared" si="119"/>
        <v>0</v>
      </c>
      <c r="T260" s="216">
        <f t="shared" si="119"/>
        <v>0</v>
      </c>
      <c r="U260" s="217">
        <f t="shared" si="119"/>
        <v>0</v>
      </c>
      <c r="V260" s="216">
        <f t="shared" si="119"/>
        <v>0</v>
      </c>
      <c r="W260" s="215">
        <f t="shared" si="119"/>
        <v>0</v>
      </c>
      <c r="X260" s="215">
        <f t="shared" si="119"/>
        <v>2600000</v>
      </c>
      <c r="Y260" s="216">
        <f t="shared" si="119"/>
        <v>2600000</v>
      </c>
      <c r="Z260" s="217">
        <f t="shared" si="119"/>
        <v>0</v>
      </c>
      <c r="AA260" s="216">
        <f t="shared" si="119"/>
        <v>0</v>
      </c>
      <c r="AB260" s="216">
        <f t="shared" si="119"/>
        <v>0</v>
      </c>
    </row>
    <row r="261" spans="1:28" ht="25.5" x14ac:dyDescent="0.2">
      <c r="A261" s="212" t="s">
        <v>52</v>
      </c>
      <c r="B261" s="58" t="s">
        <v>109</v>
      </c>
      <c r="C261" s="59" t="s">
        <v>69</v>
      </c>
      <c r="D261" s="58" t="s">
        <v>120</v>
      </c>
      <c r="E261" s="58" t="s">
        <v>72</v>
      </c>
      <c r="F261" s="60" t="s">
        <v>135</v>
      </c>
      <c r="G261" s="66" t="s">
        <v>135</v>
      </c>
      <c r="H261" s="66" t="s">
        <v>135</v>
      </c>
      <c r="I261" s="66" t="s">
        <v>357</v>
      </c>
      <c r="J261" s="76" t="s">
        <v>135</v>
      </c>
      <c r="K261" s="372" t="s">
        <v>53</v>
      </c>
      <c r="L261" s="68"/>
      <c r="M261" s="69"/>
      <c r="N261" s="216">
        <f t="shared" si="119"/>
        <v>0</v>
      </c>
      <c r="O261" s="216">
        <f t="shared" si="119"/>
        <v>700000</v>
      </c>
      <c r="P261" s="216">
        <f t="shared" si="119"/>
        <v>0</v>
      </c>
      <c r="Q261" s="215">
        <f t="shared" si="119"/>
        <v>2600000</v>
      </c>
      <c r="R261" s="216">
        <f t="shared" si="119"/>
        <v>0</v>
      </c>
      <c r="S261" s="216">
        <f t="shared" si="119"/>
        <v>0</v>
      </c>
      <c r="T261" s="216">
        <f t="shared" si="119"/>
        <v>0</v>
      </c>
      <c r="U261" s="217">
        <f t="shared" si="119"/>
        <v>0</v>
      </c>
      <c r="V261" s="216">
        <f t="shared" si="119"/>
        <v>0</v>
      </c>
      <c r="W261" s="215">
        <f t="shared" si="119"/>
        <v>0</v>
      </c>
      <c r="X261" s="215">
        <f t="shared" si="119"/>
        <v>2600000</v>
      </c>
      <c r="Y261" s="216">
        <f t="shared" si="119"/>
        <v>2600000</v>
      </c>
      <c r="Z261" s="217">
        <f t="shared" si="119"/>
        <v>0</v>
      </c>
      <c r="AA261" s="216">
        <f t="shared" si="119"/>
        <v>0</v>
      </c>
      <c r="AB261" s="216">
        <f t="shared" si="119"/>
        <v>0</v>
      </c>
    </row>
    <row r="262" spans="1:28" ht="25.5" x14ac:dyDescent="0.2">
      <c r="A262" s="212" t="s">
        <v>54</v>
      </c>
      <c r="B262" s="58" t="s">
        <v>109</v>
      </c>
      <c r="C262" s="59" t="s">
        <v>69</v>
      </c>
      <c r="D262" s="58" t="s">
        <v>120</v>
      </c>
      <c r="E262" s="58" t="s">
        <v>72</v>
      </c>
      <c r="F262" s="60" t="s">
        <v>135</v>
      </c>
      <c r="G262" s="66" t="s">
        <v>135</v>
      </c>
      <c r="H262" s="66" t="s">
        <v>135</v>
      </c>
      <c r="I262" s="66" t="s">
        <v>357</v>
      </c>
      <c r="J262" s="76" t="s">
        <v>135</v>
      </c>
      <c r="K262" s="372" t="s">
        <v>55</v>
      </c>
      <c r="L262" s="68"/>
      <c r="M262" s="69"/>
      <c r="N262" s="216">
        <v>0</v>
      </c>
      <c r="O262" s="216">
        <v>700000</v>
      </c>
      <c r="P262" s="216">
        <v>0</v>
      </c>
      <c r="Q262" s="215">
        <v>2600000</v>
      </c>
      <c r="R262" s="216">
        <v>0</v>
      </c>
      <c r="S262" s="216">
        <v>0</v>
      </c>
      <c r="T262" s="216">
        <f>S262+P262</f>
        <v>0</v>
      </c>
      <c r="U262" s="217">
        <v>0</v>
      </c>
      <c r="V262" s="216">
        <v>0</v>
      </c>
      <c r="W262" s="215">
        <v>0</v>
      </c>
      <c r="X262" s="215">
        <v>2600000</v>
      </c>
      <c r="Y262" s="216">
        <f>X262+U262</f>
        <v>2600000</v>
      </c>
      <c r="Z262" s="217">
        <v>0</v>
      </c>
      <c r="AA262" s="216">
        <v>0</v>
      </c>
      <c r="AB262" s="216">
        <v>0</v>
      </c>
    </row>
    <row r="263" spans="1:28" x14ac:dyDescent="0.2">
      <c r="A263" s="226" t="s">
        <v>361</v>
      </c>
      <c r="B263" s="411">
        <v>331</v>
      </c>
      <c r="C263" s="77" t="s">
        <v>69</v>
      </c>
      <c r="D263" s="78" t="s">
        <v>120</v>
      </c>
      <c r="E263" s="81" t="s">
        <v>70</v>
      </c>
      <c r="F263" s="81" t="s">
        <v>135</v>
      </c>
      <c r="G263" s="66" t="s">
        <v>135</v>
      </c>
      <c r="H263" s="66" t="s">
        <v>135</v>
      </c>
      <c r="I263" s="81" t="s">
        <v>136</v>
      </c>
      <c r="J263" s="67" t="s">
        <v>135</v>
      </c>
      <c r="K263" s="292"/>
      <c r="L263" s="68" t="e">
        <f>L264</f>
        <v>#REF!</v>
      </c>
      <c r="M263" s="69" t="e">
        <f>M264</f>
        <v>#REF!</v>
      </c>
      <c r="N263" s="216">
        <f t="shared" ref="N263:AB265" si="120">N264</f>
        <v>0</v>
      </c>
      <c r="O263" s="216">
        <f t="shared" si="120"/>
        <v>0</v>
      </c>
      <c r="P263" s="216">
        <f>P264</f>
        <v>0</v>
      </c>
      <c r="Q263" s="216">
        <f t="shared" ref="Q263:T263" si="121">Q264</f>
        <v>355450</v>
      </c>
      <c r="R263" s="216">
        <f t="shared" si="121"/>
        <v>0</v>
      </c>
      <c r="S263" s="216">
        <f t="shared" si="121"/>
        <v>112903.23</v>
      </c>
      <c r="T263" s="216">
        <f t="shared" si="121"/>
        <v>112903.23</v>
      </c>
      <c r="U263" s="217">
        <f>U264</f>
        <v>0</v>
      </c>
      <c r="V263" s="216">
        <f t="shared" ref="V263" si="122">V264</f>
        <v>355450</v>
      </c>
      <c r="W263" s="216">
        <f t="shared" ref="W263" si="123">W264</f>
        <v>0</v>
      </c>
      <c r="X263" s="215">
        <f t="shared" ref="X263" si="124">X264</f>
        <v>0</v>
      </c>
      <c r="Y263" s="216">
        <f t="shared" ref="Y263" si="125">Y264</f>
        <v>0</v>
      </c>
      <c r="Z263" s="217">
        <f>Z264</f>
        <v>0</v>
      </c>
      <c r="AA263" s="216">
        <f t="shared" ref="AA263" si="126">AA264</f>
        <v>0</v>
      </c>
      <c r="AB263" s="216">
        <f t="shared" ref="AB263" si="127">AB264</f>
        <v>0</v>
      </c>
    </row>
    <row r="264" spans="1:28" x14ac:dyDescent="0.2">
      <c r="A264" s="207" t="s">
        <v>11</v>
      </c>
      <c r="B264" s="411">
        <v>331</v>
      </c>
      <c r="C264" s="77" t="s">
        <v>69</v>
      </c>
      <c r="D264" s="78" t="s">
        <v>120</v>
      </c>
      <c r="E264" s="66" t="s">
        <v>70</v>
      </c>
      <c r="F264" s="66" t="s">
        <v>135</v>
      </c>
      <c r="G264" s="66" t="s">
        <v>135</v>
      </c>
      <c r="H264" s="66" t="s">
        <v>135</v>
      </c>
      <c r="I264" s="66" t="s">
        <v>14</v>
      </c>
      <c r="J264" s="67" t="s">
        <v>135</v>
      </c>
      <c r="K264" s="309"/>
      <c r="L264" s="68" t="e">
        <f>L265+#REF!+#REF!</f>
        <v>#REF!</v>
      </c>
      <c r="M264" s="69" t="e">
        <f>M265+#REF!+#REF!</f>
        <v>#REF!</v>
      </c>
      <c r="N264" s="216">
        <f t="shared" si="120"/>
        <v>0</v>
      </c>
      <c r="O264" s="216">
        <f t="shared" si="120"/>
        <v>0</v>
      </c>
      <c r="P264" s="216">
        <f t="shared" si="120"/>
        <v>0</v>
      </c>
      <c r="Q264" s="68">
        <f t="shared" si="120"/>
        <v>355450</v>
      </c>
      <c r="R264" s="216">
        <f t="shared" si="120"/>
        <v>0</v>
      </c>
      <c r="S264" s="216">
        <f t="shared" si="120"/>
        <v>112903.23</v>
      </c>
      <c r="T264" s="216">
        <f t="shared" si="120"/>
        <v>112903.23</v>
      </c>
      <c r="U264" s="217">
        <f t="shared" si="120"/>
        <v>0</v>
      </c>
      <c r="V264" s="68">
        <f t="shared" si="120"/>
        <v>355450</v>
      </c>
      <c r="W264" s="216">
        <f t="shared" si="120"/>
        <v>0</v>
      </c>
      <c r="X264" s="215">
        <f t="shared" si="120"/>
        <v>0</v>
      </c>
      <c r="Y264" s="216">
        <f t="shared" si="120"/>
        <v>0</v>
      </c>
      <c r="Z264" s="217">
        <f t="shared" si="120"/>
        <v>0</v>
      </c>
      <c r="AA264" s="68">
        <f t="shared" si="120"/>
        <v>0</v>
      </c>
      <c r="AB264" s="216">
        <f t="shared" si="120"/>
        <v>0</v>
      </c>
    </row>
    <row r="265" spans="1:28" ht="25.5" x14ac:dyDescent="0.2">
      <c r="A265" s="212" t="s">
        <v>52</v>
      </c>
      <c r="B265" s="411">
        <v>331</v>
      </c>
      <c r="C265" s="77" t="s">
        <v>69</v>
      </c>
      <c r="D265" s="78" t="s">
        <v>120</v>
      </c>
      <c r="E265" s="66" t="s">
        <v>70</v>
      </c>
      <c r="F265" s="66" t="s">
        <v>135</v>
      </c>
      <c r="G265" s="66" t="s">
        <v>135</v>
      </c>
      <c r="H265" s="66" t="s">
        <v>135</v>
      </c>
      <c r="I265" s="66" t="s">
        <v>14</v>
      </c>
      <c r="J265" s="67" t="s">
        <v>135</v>
      </c>
      <c r="K265" s="309" t="s">
        <v>53</v>
      </c>
      <c r="L265" s="68">
        <f>L266</f>
        <v>308600</v>
      </c>
      <c r="M265" s="69">
        <f>M266</f>
        <v>0</v>
      </c>
      <c r="N265" s="216">
        <f t="shared" si="120"/>
        <v>0</v>
      </c>
      <c r="O265" s="216">
        <f t="shared" si="120"/>
        <v>0</v>
      </c>
      <c r="P265" s="216">
        <f t="shared" si="120"/>
        <v>0</v>
      </c>
      <c r="Q265" s="68">
        <f t="shared" si="120"/>
        <v>355450</v>
      </c>
      <c r="R265" s="216">
        <f t="shared" si="120"/>
        <v>0</v>
      </c>
      <c r="S265" s="216">
        <f t="shared" si="120"/>
        <v>112903.23</v>
      </c>
      <c r="T265" s="216">
        <f t="shared" si="120"/>
        <v>112903.23</v>
      </c>
      <c r="U265" s="217">
        <f t="shared" si="120"/>
        <v>0</v>
      </c>
      <c r="V265" s="68">
        <f t="shared" si="120"/>
        <v>355450</v>
      </c>
      <c r="W265" s="216">
        <f t="shared" si="120"/>
        <v>0</v>
      </c>
      <c r="X265" s="215">
        <f t="shared" si="120"/>
        <v>0</v>
      </c>
      <c r="Y265" s="216">
        <f t="shared" si="120"/>
        <v>0</v>
      </c>
      <c r="Z265" s="217">
        <f t="shared" ref="Z265:AB265" si="128">Z266</f>
        <v>0</v>
      </c>
      <c r="AA265" s="68">
        <f t="shared" si="128"/>
        <v>0</v>
      </c>
      <c r="AB265" s="216">
        <f t="shared" si="128"/>
        <v>0</v>
      </c>
    </row>
    <row r="266" spans="1:28" ht="25.5" x14ac:dyDescent="0.2">
      <c r="A266" s="212" t="s">
        <v>54</v>
      </c>
      <c r="B266" s="411">
        <v>331</v>
      </c>
      <c r="C266" s="77" t="s">
        <v>69</v>
      </c>
      <c r="D266" s="78" t="s">
        <v>120</v>
      </c>
      <c r="E266" s="66" t="s">
        <v>70</v>
      </c>
      <c r="F266" s="66" t="s">
        <v>135</v>
      </c>
      <c r="G266" s="66" t="s">
        <v>135</v>
      </c>
      <c r="H266" s="66" t="s">
        <v>135</v>
      </c>
      <c r="I266" s="66" t="s">
        <v>14</v>
      </c>
      <c r="J266" s="67" t="s">
        <v>135</v>
      </c>
      <c r="K266" s="309" t="s">
        <v>55</v>
      </c>
      <c r="L266" s="68">
        <v>308600</v>
      </c>
      <c r="M266" s="69">
        <v>0</v>
      </c>
      <c r="N266" s="216">
        <v>0</v>
      </c>
      <c r="O266" s="216">
        <v>0</v>
      </c>
      <c r="P266" s="216">
        <v>0</v>
      </c>
      <c r="Q266" s="68">
        <v>355450</v>
      </c>
      <c r="R266" s="216">
        <v>0</v>
      </c>
      <c r="S266" s="216">
        <v>112903.23</v>
      </c>
      <c r="T266" s="216">
        <f>S266</f>
        <v>112903.23</v>
      </c>
      <c r="U266" s="217">
        <v>0</v>
      </c>
      <c r="V266" s="68">
        <v>355450</v>
      </c>
      <c r="W266" s="216">
        <v>0</v>
      </c>
      <c r="X266" s="215">
        <v>0</v>
      </c>
      <c r="Y266" s="216">
        <f>X266</f>
        <v>0</v>
      </c>
      <c r="Z266" s="217">
        <v>0</v>
      </c>
      <c r="AA266" s="68">
        <v>0</v>
      </c>
      <c r="AB266" s="216">
        <v>0</v>
      </c>
    </row>
    <row r="267" spans="1:28" ht="38.25" x14ac:dyDescent="0.2">
      <c r="A267" s="226" t="s">
        <v>379</v>
      </c>
      <c r="B267" s="411">
        <v>331</v>
      </c>
      <c r="C267" s="58" t="s">
        <v>69</v>
      </c>
      <c r="D267" s="59" t="s">
        <v>120</v>
      </c>
      <c r="E267" s="81" t="s">
        <v>74</v>
      </c>
      <c r="F267" s="81" t="s">
        <v>135</v>
      </c>
      <c r="G267" s="66" t="s">
        <v>135</v>
      </c>
      <c r="H267" s="66" t="s">
        <v>135</v>
      </c>
      <c r="I267" s="81" t="s">
        <v>136</v>
      </c>
      <c r="J267" s="67" t="s">
        <v>135</v>
      </c>
      <c r="K267" s="292"/>
      <c r="L267" s="68">
        <f t="shared" ref="L267:AB268" si="129">L268</f>
        <v>13600</v>
      </c>
      <c r="M267" s="69">
        <f t="shared" si="129"/>
        <v>0</v>
      </c>
      <c r="N267" s="216">
        <f t="shared" si="129"/>
        <v>0</v>
      </c>
      <c r="O267" s="216">
        <f t="shared" si="129"/>
        <v>0</v>
      </c>
      <c r="P267" s="216">
        <f t="shared" si="129"/>
        <v>0</v>
      </c>
      <c r="Q267" s="68">
        <f t="shared" si="129"/>
        <v>10000</v>
      </c>
      <c r="R267" s="216">
        <f t="shared" si="129"/>
        <v>0</v>
      </c>
      <c r="S267" s="216">
        <f t="shared" si="129"/>
        <v>0</v>
      </c>
      <c r="T267" s="216">
        <f t="shared" si="129"/>
        <v>0</v>
      </c>
      <c r="U267" s="68">
        <f t="shared" si="129"/>
        <v>10000</v>
      </c>
      <c r="V267" s="216">
        <f t="shared" si="129"/>
        <v>10000</v>
      </c>
      <c r="W267" s="215">
        <f t="shared" si="129"/>
        <v>0</v>
      </c>
      <c r="X267" s="215">
        <f t="shared" si="129"/>
        <v>0</v>
      </c>
      <c r="Y267" s="216">
        <f t="shared" si="129"/>
        <v>10000</v>
      </c>
      <c r="Z267" s="217">
        <f t="shared" si="129"/>
        <v>10000</v>
      </c>
      <c r="AA267" s="216">
        <f t="shared" si="129"/>
        <v>0</v>
      </c>
      <c r="AB267" s="216">
        <f t="shared" si="129"/>
        <v>10000</v>
      </c>
    </row>
    <row r="268" spans="1:28" ht="25.5" x14ac:dyDescent="0.2">
      <c r="A268" s="258" t="s">
        <v>380</v>
      </c>
      <c r="B268" s="411">
        <v>331</v>
      </c>
      <c r="C268" s="58" t="s">
        <v>69</v>
      </c>
      <c r="D268" s="59" t="s">
        <v>120</v>
      </c>
      <c r="E268" s="79" t="s">
        <v>74</v>
      </c>
      <c r="F268" s="79" t="s">
        <v>137</v>
      </c>
      <c r="G268" s="66" t="s">
        <v>135</v>
      </c>
      <c r="H268" s="66" t="s">
        <v>135</v>
      </c>
      <c r="I268" s="79" t="s">
        <v>136</v>
      </c>
      <c r="J268" s="67" t="s">
        <v>135</v>
      </c>
      <c r="K268" s="291"/>
      <c r="L268" s="64">
        <f t="shared" si="129"/>
        <v>13600</v>
      </c>
      <c r="M268" s="65">
        <f t="shared" si="129"/>
        <v>0</v>
      </c>
      <c r="N268" s="224">
        <f t="shared" si="129"/>
        <v>0</v>
      </c>
      <c r="O268" s="224">
        <f t="shared" si="129"/>
        <v>0</v>
      </c>
      <c r="P268" s="224">
        <f t="shared" si="129"/>
        <v>0</v>
      </c>
      <c r="Q268" s="64">
        <f t="shared" si="129"/>
        <v>10000</v>
      </c>
      <c r="R268" s="224">
        <f t="shared" si="129"/>
        <v>0</v>
      </c>
      <c r="S268" s="224">
        <f t="shared" si="129"/>
        <v>0</v>
      </c>
      <c r="T268" s="224">
        <f t="shared" si="129"/>
        <v>0</v>
      </c>
      <c r="U268" s="64">
        <f t="shared" si="129"/>
        <v>10000</v>
      </c>
      <c r="V268" s="224">
        <f t="shared" si="129"/>
        <v>10000</v>
      </c>
      <c r="W268" s="223">
        <f t="shared" si="129"/>
        <v>0</v>
      </c>
      <c r="X268" s="223">
        <f t="shared" si="129"/>
        <v>0</v>
      </c>
      <c r="Y268" s="224">
        <f t="shared" si="129"/>
        <v>10000</v>
      </c>
      <c r="Z268" s="225">
        <f t="shared" si="129"/>
        <v>10000</v>
      </c>
      <c r="AA268" s="224">
        <f t="shared" si="129"/>
        <v>0</v>
      </c>
      <c r="AB268" s="224">
        <f t="shared" si="129"/>
        <v>10000</v>
      </c>
    </row>
    <row r="269" spans="1:28" x14ac:dyDescent="0.2">
      <c r="A269" s="258" t="s">
        <v>214</v>
      </c>
      <c r="B269" s="411">
        <v>331</v>
      </c>
      <c r="C269" s="58" t="s">
        <v>69</v>
      </c>
      <c r="D269" s="59" t="s">
        <v>120</v>
      </c>
      <c r="E269" s="79" t="s">
        <v>74</v>
      </c>
      <c r="F269" s="79" t="s">
        <v>137</v>
      </c>
      <c r="G269" s="66" t="s">
        <v>135</v>
      </c>
      <c r="H269" s="66" t="s">
        <v>135</v>
      </c>
      <c r="I269" s="79" t="s">
        <v>215</v>
      </c>
      <c r="J269" s="67" t="s">
        <v>135</v>
      </c>
      <c r="K269" s="291"/>
      <c r="L269" s="64">
        <f t="shared" ref="L269:Z269" si="130">L270+L272</f>
        <v>13600</v>
      </c>
      <c r="M269" s="65">
        <f t="shared" si="130"/>
        <v>0</v>
      </c>
      <c r="N269" s="224">
        <f t="shared" si="130"/>
        <v>0</v>
      </c>
      <c r="O269" s="224">
        <f t="shared" si="130"/>
        <v>0</v>
      </c>
      <c r="P269" s="224">
        <f t="shared" si="130"/>
        <v>0</v>
      </c>
      <c r="Q269" s="64">
        <f t="shared" si="130"/>
        <v>10000</v>
      </c>
      <c r="R269" s="224">
        <f t="shared" si="130"/>
        <v>0</v>
      </c>
      <c r="S269" s="224">
        <f>S270+S272</f>
        <v>0</v>
      </c>
      <c r="T269" s="224">
        <f>T270+T272</f>
        <v>0</v>
      </c>
      <c r="U269" s="64">
        <f t="shared" si="130"/>
        <v>10000</v>
      </c>
      <c r="V269" s="224">
        <f t="shared" si="130"/>
        <v>10000</v>
      </c>
      <c r="W269" s="223">
        <f t="shared" si="130"/>
        <v>0</v>
      </c>
      <c r="X269" s="223">
        <f>X270+X272</f>
        <v>0</v>
      </c>
      <c r="Y269" s="224">
        <f>Y270+Y272</f>
        <v>10000</v>
      </c>
      <c r="Z269" s="225">
        <f t="shared" si="130"/>
        <v>10000</v>
      </c>
      <c r="AA269" s="224">
        <f>AA270+AA272</f>
        <v>0</v>
      </c>
      <c r="AB269" s="224">
        <f>AB270+AB272</f>
        <v>10000</v>
      </c>
    </row>
    <row r="270" spans="1:28" ht="25.5" hidden="1" x14ac:dyDescent="0.2">
      <c r="A270" s="258" t="s">
        <v>52</v>
      </c>
      <c r="B270" s="411">
        <v>331</v>
      </c>
      <c r="C270" s="58" t="s">
        <v>69</v>
      </c>
      <c r="D270" s="59" t="s">
        <v>120</v>
      </c>
      <c r="E270" s="79" t="s">
        <v>74</v>
      </c>
      <c r="F270" s="79" t="s">
        <v>137</v>
      </c>
      <c r="G270" s="66" t="s">
        <v>135</v>
      </c>
      <c r="H270" s="66" t="s">
        <v>135</v>
      </c>
      <c r="I270" s="79" t="s">
        <v>215</v>
      </c>
      <c r="J270" s="67" t="s">
        <v>135</v>
      </c>
      <c r="K270" s="291" t="s">
        <v>53</v>
      </c>
      <c r="L270" s="64">
        <f t="shared" ref="L270:AB270" si="131">L271</f>
        <v>3600</v>
      </c>
      <c r="M270" s="65">
        <f t="shared" si="131"/>
        <v>0</v>
      </c>
      <c r="N270" s="224">
        <f t="shared" si="131"/>
        <v>0</v>
      </c>
      <c r="O270" s="224">
        <f t="shared" si="131"/>
        <v>0</v>
      </c>
      <c r="P270" s="224">
        <f t="shared" si="131"/>
        <v>0</v>
      </c>
      <c r="Q270" s="64">
        <f t="shared" si="131"/>
        <v>0</v>
      </c>
      <c r="R270" s="224">
        <f t="shared" si="131"/>
        <v>0</v>
      </c>
      <c r="S270" s="224">
        <f t="shared" si="131"/>
        <v>0</v>
      </c>
      <c r="T270" s="224">
        <f t="shared" si="131"/>
        <v>0</v>
      </c>
      <c r="U270" s="64">
        <f t="shared" si="131"/>
        <v>0</v>
      </c>
      <c r="V270" s="224">
        <f t="shared" si="131"/>
        <v>0</v>
      </c>
      <c r="W270" s="223">
        <f t="shared" si="131"/>
        <v>0</v>
      </c>
      <c r="X270" s="223">
        <f t="shared" si="131"/>
        <v>0</v>
      </c>
      <c r="Y270" s="224">
        <f t="shared" si="131"/>
        <v>0</v>
      </c>
      <c r="Z270" s="225">
        <f t="shared" si="131"/>
        <v>0</v>
      </c>
      <c r="AA270" s="224">
        <f t="shared" si="131"/>
        <v>0</v>
      </c>
      <c r="AB270" s="224">
        <f t="shared" si="131"/>
        <v>0</v>
      </c>
    </row>
    <row r="271" spans="1:28" ht="25.5" hidden="1" x14ac:dyDescent="0.2">
      <c r="A271" s="258" t="s">
        <v>54</v>
      </c>
      <c r="B271" s="411">
        <v>331</v>
      </c>
      <c r="C271" s="58" t="s">
        <v>69</v>
      </c>
      <c r="D271" s="59" t="s">
        <v>120</v>
      </c>
      <c r="E271" s="79" t="s">
        <v>74</v>
      </c>
      <c r="F271" s="79" t="s">
        <v>137</v>
      </c>
      <c r="G271" s="66" t="s">
        <v>135</v>
      </c>
      <c r="H271" s="66" t="s">
        <v>135</v>
      </c>
      <c r="I271" s="79" t="s">
        <v>215</v>
      </c>
      <c r="J271" s="67" t="s">
        <v>135</v>
      </c>
      <c r="K271" s="291" t="s">
        <v>55</v>
      </c>
      <c r="L271" s="64">
        <v>3600</v>
      </c>
      <c r="M271" s="65">
        <v>0</v>
      </c>
      <c r="N271" s="224"/>
      <c r="O271" s="224"/>
      <c r="P271" s="224"/>
      <c r="Q271" s="64">
        <v>0</v>
      </c>
      <c r="R271" s="224">
        <v>0</v>
      </c>
      <c r="S271" s="224"/>
      <c r="T271" s="224"/>
      <c r="U271" s="64">
        <v>0</v>
      </c>
      <c r="V271" s="224">
        <v>0</v>
      </c>
      <c r="W271" s="223">
        <v>0</v>
      </c>
      <c r="X271" s="223">
        <v>0</v>
      </c>
      <c r="Y271" s="224">
        <v>0</v>
      </c>
      <c r="Z271" s="225">
        <v>0</v>
      </c>
      <c r="AA271" s="224">
        <v>0</v>
      </c>
      <c r="AB271" s="224">
        <v>0</v>
      </c>
    </row>
    <row r="272" spans="1:28" ht="17.25" customHeight="1" x14ac:dyDescent="0.2">
      <c r="A272" s="286" t="s">
        <v>154</v>
      </c>
      <c r="B272" s="411">
        <v>331</v>
      </c>
      <c r="C272" s="58" t="s">
        <v>69</v>
      </c>
      <c r="D272" s="59" t="s">
        <v>120</v>
      </c>
      <c r="E272" s="79" t="s">
        <v>74</v>
      </c>
      <c r="F272" s="79" t="s">
        <v>137</v>
      </c>
      <c r="G272" s="66" t="s">
        <v>135</v>
      </c>
      <c r="H272" s="66" t="s">
        <v>135</v>
      </c>
      <c r="I272" s="79" t="s">
        <v>215</v>
      </c>
      <c r="J272" s="67" t="s">
        <v>135</v>
      </c>
      <c r="K272" s="291" t="s">
        <v>57</v>
      </c>
      <c r="L272" s="64">
        <f t="shared" ref="L272:AB272" si="132">L273</f>
        <v>10000</v>
      </c>
      <c r="M272" s="65">
        <f t="shared" si="132"/>
        <v>0</v>
      </c>
      <c r="N272" s="224">
        <f t="shared" si="132"/>
        <v>0</v>
      </c>
      <c r="O272" s="224">
        <f t="shared" si="132"/>
        <v>0</v>
      </c>
      <c r="P272" s="224">
        <f t="shared" si="132"/>
        <v>0</v>
      </c>
      <c r="Q272" s="64">
        <f t="shared" si="132"/>
        <v>10000</v>
      </c>
      <c r="R272" s="224">
        <f t="shared" si="132"/>
        <v>0</v>
      </c>
      <c r="S272" s="224">
        <f t="shared" si="132"/>
        <v>0</v>
      </c>
      <c r="T272" s="224">
        <f t="shared" si="132"/>
        <v>0</v>
      </c>
      <c r="U272" s="64">
        <f t="shared" si="132"/>
        <v>10000</v>
      </c>
      <c r="V272" s="224">
        <f t="shared" si="132"/>
        <v>10000</v>
      </c>
      <c r="W272" s="223">
        <f t="shared" si="132"/>
        <v>0</v>
      </c>
      <c r="X272" s="223">
        <f t="shared" si="132"/>
        <v>0</v>
      </c>
      <c r="Y272" s="224">
        <f t="shared" si="132"/>
        <v>10000</v>
      </c>
      <c r="Z272" s="225">
        <f t="shared" si="132"/>
        <v>10000</v>
      </c>
      <c r="AA272" s="224">
        <f t="shared" si="132"/>
        <v>0</v>
      </c>
      <c r="AB272" s="224">
        <f t="shared" si="132"/>
        <v>10000</v>
      </c>
    </row>
    <row r="273" spans="1:28" x14ac:dyDescent="0.2">
      <c r="A273" s="212" t="s">
        <v>155</v>
      </c>
      <c r="B273" s="411">
        <v>331</v>
      </c>
      <c r="C273" s="58" t="s">
        <v>69</v>
      </c>
      <c r="D273" s="59" t="s">
        <v>120</v>
      </c>
      <c r="E273" s="79" t="s">
        <v>74</v>
      </c>
      <c r="F273" s="79" t="s">
        <v>137</v>
      </c>
      <c r="G273" s="66" t="s">
        <v>135</v>
      </c>
      <c r="H273" s="66" t="s">
        <v>135</v>
      </c>
      <c r="I273" s="79" t="s">
        <v>215</v>
      </c>
      <c r="J273" s="67" t="s">
        <v>135</v>
      </c>
      <c r="K273" s="291" t="s">
        <v>153</v>
      </c>
      <c r="L273" s="64">
        <v>10000</v>
      </c>
      <c r="M273" s="65">
        <v>0</v>
      </c>
      <c r="N273" s="224">
        <v>0</v>
      </c>
      <c r="O273" s="224">
        <v>0</v>
      </c>
      <c r="P273" s="224">
        <v>0</v>
      </c>
      <c r="Q273" s="64">
        <v>10000</v>
      </c>
      <c r="R273" s="224">
        <v>0</v>
      </c>
      <c r="S273" s="224">
        <v>0</v>
      </c>
      <c r="T273" s="224">
        <v>0</v>
      </c>
      <c r="U273" s="64">
        <v>10000</v>
      </c>
      <c r="V273" s="224">
        <v>10000</v>
      </c>
      <c r="W273" s="223">
        <v>0</v>
      </c>
      <c r="X273" s="223">
        <v>0</v>
      </c>
      <c r="Y273" s="224">
        <v>10000</v>
      </c>
      <c r="Z273" s="225">
        <v>10000</v>
      </c>
      <c r="AA273" s="224">
        <v>0</v>
      </c>
      <c r="AB273" s="224">
        <v>10000</v>
      </c>
    </row>
    <row r="274" spans="1:28" ht="50.25" customHeight="1" x14ac:dyDescent="0.2">
      <c r="A274" s="212" t="s">
        <v>366</v>
      </c>
      <c r="B274" s="411">
        <v>331</v>
      </c>
      <c r="C274" s="58" t="s">
        <v>69</v>
      </c>
      <c r="D274" s="59" t="s">
        <v>120</v>
      </c>
      <c r="E274" s="79" t="s">
        <v>348</v>
      </c>
      <c r="F274" s="79" t="s">
        <v>135</v>
      </c>
      <c r="G274" s="66" t="s">
        <v>135</v>
      </c>
      <c r="H274" s="66" t="s">
        <v>135</v>
      </c>
      <c r="I274" s="79" t="s">
        <v>136</v>
      </c>
      <c r="J274" s="67" t="s">
        <v>135</v>
      </c>
      <c r="K274" s="291"/>
      <c r="L274" s="64"/>
      <c r="M274" s="65"/>
      <c r="N274" s="224">
        <f t="shared" ref="N274:Z274" si="133">N275+N278</f>
        <v>4780650</v>
      </c>
      <c r="O274" s="224">
        <f t="shared" si="133"/>
        <v>0</v>
      </c>
      <c r="P274" s="224">
        <f t="shared" si="133"/>
        <v>4780650</v>
      </c>
      <c r="Q274" s="223">
        <f t="shared" si="133"/>
        <v>0</v>
      </c>
      <c r="R274" s="224">
        <f t="shared" si="133"/>
        <v>0</v>
      </c>
      <c r="S274" s="224">
        <f>S275+S278</f>
        <v>0</v>
      </c>
      <c r="T274" s="224">
        <f>T275+T278</f>
        <v>4780650</v>
      </c>
      <c r="U274" s="225">
        <f t="shared" si="133"/>
        <v>0</v>
      </c>
      <c r="V274" s="224">
        <f t="shared" si="133"/>
        <v>0</v>
      </c>
      <c r="W274" s="223">
        <f t="shared" si="133"/>
        <v>0</v>
      </c>
      <c r="X274" s="223">
        <f>X275+X278</f>
        <v>0</v>
      </c>
      <c r="Y274" s="224">
        <f>Y275+Y278</f>
        <v>0</v>
      </c>
      <c r="Z274" s="225">
        <f t="shared" si="133"/>
        <v>0</v>
      </c>
      <c r="AA274" s="224">
        <f>AA275+AA278</f>
        <v>0</v>
      </c>
      <c r="AB274" s="224">
        <f>AB275+AB278</f>
        <v>0</v>
      </c>
    </row>
    <row r="275" spans="1:28" ht="102" x14ac:dyDescent="0.2">
      <c r="A275" s="258" t="s">
        <v>305</v>
      </c>
      <c r="B275" s="58" t="s">
        <v>109</v>
      </c>
      <c r="C275" s="77" t="s">
        <v>69</v>
      </c>
      <c r="D275" s="78" t="s">
        <v>120</v>
      </c>
      <c r="E275" s="66" t="s">
        <v>348</v>
      </c>
      <c r="F275" s="66" t="s">
        <v>135</v>
      </c>
      <c r="G275" s="66" t="s">
        <v>135</v>
      </c>
      <c r="H275" s="66" t="s">
        <v>135</v>
      </c>
      <c r="I275" s="66" t="s">
        <v>311</v>
      </c>
      <c r="J275" s="67" t="s">
        <v>135</v>
      </c>
      <c r="K275" s="309"/>
      <c r="L275" s="101"/>
      <c r="M275" s="102"/>
      <c r="N275" s="248">
        <f t="shared" ref="N275:AB276" si="134">N276</f>
        <v>2580650</v>
      </c>
      <c r="O275" s="248">
        <f t="shared" si="134"/>
        <v>0</v>
      </c>
      <c r="P275" s="248">
        <f t="shared" si="134"/>
        <v>2580650</v>
      </c>
      <c r="Q275" s="101">
        <f t="shared" si="134"/>
        <v>0</v>
      </c>
      <c r="R275" s="248">
        <f t="shared" si="134"/>
        <v>0</v>
      </c>
      <c r="S275" s="248">
        <f t="shared" si="134"/>
        <v>0</v>
      </c>
      <c r="T275" s="248">
        <f t="shared" si="134"/>
        <v>2580650</v>
      </c>
      <c r="U275" s="101">
        <f t="shared" si="134"/>
        <v>0</v>
      </c>
      <c r="V275" s="248">
        <f t="shared" si="134"/>
        <v>0</v>
      </c>
      <c r="W275" s="473">
        <f t="shared" si="134"/>
        <v>0</v>
      </c>
      <c r="X275" s="473">
        <f t="shared" si="134"/>
        <v>0</v>
      </c>
      <c r="Y275" s="248">
        <f t="shared" si="134"/>
        <v>0</v>
      </c>
      <c r="Z275" s="249">
        <f t="shared" si="134"/>
        <v>0</v>
      </c>
      <c r="AA275" s="248">
        <f t="shared" si="134"/>
        <v>0</v>
      </c>
      <c r="AB275" s="248">
        <f t="shared" si="134"/>
        <v>0</v>
      </c>
    </row>
    <row r="276" spans="1:28" x14ac:dyDescent="0.2">
      <c r="A276" s="212" t="s">
        <v>56</v>
      </c>
      <c r="B276" s="58" t="s">
        <v>109</v>
      </c>
      <c r="C276" s="77" t="s">
        <v>69</v>
      </c>
      <c r="D276" s="78" t="s">
        <v>120</v>
      </c>
      <c r="E276" s="66" t="s">
        <v>348</v>
      </c>
      <c r="F276" s="66" t="s">
        <v>135</v>
      </c>
      <c r="G276" s="66" t="s">
        <v>135</v>
      </c>
      <c r="H276" s="66" t="s">
        <v>135</v>
      </c>
      <c r="I276" s="66" t="s">
        <v>311</v>
      </c>
      <c r="J276" s="67" t="s">
        <v>135</v>
      </c>
      <c r="K276" s="309" t="s">
        <v>57</v>
      </c>
      <c r="L276" s="101"/>
      <c r="M276" s="102"/>
      <c r="N276" s="248">
        <f t="shared" si="134"/>
        <v>2580650</v>
      </c>
      <c r="O276" s="248">
        <f t="shared" si="134"/>
        <v>0</v>
      </c>
      <c r="P276" s="248">
        <f t="shared" si="134"/>
        <v>2580650</v>
      </c>
      <c r="Q276" s="101">
        <f t="shared" si="134"/>
        <v>0</v>
      </c>
      <c r="R276" s="248">
        <f t="shared" si="134"/>
        <v>0</v>
      </c>
      <c r="S276" s="248">
        <f t="shared" si="134"/>
        <v>0</v>
      </c>
      <c r="T276" s="248">
        <f t="shared" si="134"/>
        <v>2580650</v>
      </c>
      <c r="U276" s="101">
        <f t="shared" si="134"/>
        <v>0</v>
      </c>
      <c r="V276" s="248">
        <f t="shared" si="134"/>
        <v>0</v>
      </c>
      <c r="W276" s="473">
        <f t="shared" si="134"/>
        <v>0</v>
      </c>
      <c r="X276" s="473">
        <f t="shared" si="134"/>
        <v>0</v>
      </c>
      <c r="Y276" s="248">
        <f t="shared" si="134"/>
        <v>0</v>
      </c>
      <c r="Z276" s="249">
        <f t="shared" si="134"/>
        <v>0</v>
      </c>
      <c r="AA276" s="248">
        <f t="shared" si="134"/>
        <v>0</v>
      </c>
      <c r="AB276" s="248">
        <f t="shared" si="134"/>
        <v>0</v>
      </c>
    </row>
    <row r="277" spans="1:28" ht="25.5" x14ac:dyDescent="0.2">
      <c r="A277" s="212" t="s">
        <v>58</v>
      </c>
      <c r="B277" s="58" t="s">
        <v>109</v>
      </c>
      <c r="C277" s="77" t="s">
        <v>69</v>
      </c>
      <c r="D277" s="78" t="s">
        <v>120</v>
      </c>
      <c r="E277" s="66" t="s">
        <v>348</v>
      </c>
      <c r="F277" s="66" t="s">
        <v>135</v>
      </c>
      <c r="G277" s="66" t="s">
        <v>135</v>
      </c>
      <c r="H277" s="66" t="s">
        <v>135</v>
      </c>
      <c r="I277" s="66" t="s">
        <v>311</v>
      </c>
      <c r="J277" s="67" t="s">
        <v>135</v>
      </c>
      <c r="K277" s="309" t="s">
        <v>59</v>
      </c>
      <c r="L277" s="101"/>
      <c r="M277" s="102"/>
      <c r="N277" s="248">
        <f>2400000+180650</f>
        <v>2580650</v>
      </c>
      <c r="O277" s="248">
        <v>0</v>
      </c>
      <c r="P277" s="248">
        <f>2400000+180650</f>
        <v>2580650</v>
      </c>
      <c r="Q277" s="101">
        <v>0</v>
      </c>
      <c r="R277" s="248">
        <v>0</v>
      </c>
      <c r="S277" s="248">
        <v>0</v>
      </c>
      <c r="T277" s="248">
        <f>2400000+180650</f>
        <v>2580650</v>
      </c>
      <c r="U277" s="101">
        <v>0</v>
      </c>
      <c r="V277" s="248">
        <v>0</v>
      </c>
      <c r="W277" s="473">
        <v>0</v>
      </c>
      <c r="X277" s="473">
        <v>0</v>
      </c>
      <c r="Y277" s="248">
        <v>0</v>
      </c>
      <c r="Z277" s="249">
        <v>0</v>
      </c>
      <c r="AA277" s="248">
        <v>0</v>
      </c>
      <c r="AB277" s="248">
        <v>0</v>
      </c>
    </row>
    <row r="278" spans="1:28" ht="76.5" x14ac:dyDescent="0.2">
      <c r="A278" s="258" t="s">
        <v>304</v>
      </c>
      <c r="B278" s="58" t="s">
        <v>109</v>
      </c>
      <c r="C278" s="77" t="s">
        <v>69</v>
      </c>
      <c r="D278" s="78" t="s">
        <v>120</v>
      </c>
      <c r="E278" s="66" t="s">
        <v>348</v>
      </c>
      <c r="F278" s="66" t="s">
        <v>135</v>
      </c>
      <c r="G278" s="66" t="s">
        <v>135</v>
      </c>
      <c r="H278" s="66" t="s">
        <v>135</v>
      </c>
      <c r="I278" s="66" t="s">
        <v>303</v>
      </c>
      <c r="J278" s="67" t="s">
        <v>135</v>
      </c>
      <c r="K278" s="309"/>
      <c r="L278" s="101"/>
      <c r="M278" s="102"/>
      <c r="N278" s="248">
        <f t="shared" ref="N278:AB279" si="135">N279</f>
        <v>2200000</v>
      </c>
      <c r="O278" s="248">
        <f t="shared" si="135"/>
        <v>0</v>
      </c>
      <c r="P278" s="248">
        <f t="shared" si="135"/>
        <v>2200000</v>
      </c>
      <c r="Q278" s="101">
        <f t="shared" si="135"/>
        <v>0</v>
      </c>
      <c r="R278" s="248">
        <f t="shared" si="135"/>
        <v>0</v>
      </c>
      <c r="S278" s="248">
        <f t="shared" si="135"/>
        <v>0</v>
      </c>
      <c r="T278" s="248">
        <f t="shared" si="135"/>
        <v>2200000</v>
      </c>
      <c r="U278" s="101">
        <f t="shared" si="135"/>
        <v>0</v>
      </c>
      <c r="V278" s="248">
        <f t="shared" si="135"/>
        <v>0</v>
      </c>
      <c r="W278" s="473">
        <f t="shared" si="135"/>
        <v>0</v>
      </c>
      <c r="X278" s="473">
        <f t="shared" si="135"/>
        <v>0</v>
      </c>
      <c r="Y278" s="248">
        <f t="shared" si="135"/>
        <v>0</v>
      </c>
      <c r="Z278" s="249">
        <f t="shared" si="135"/>
        <v>0</v>
      </c>
      <c r="AA278" s="248">
        <f t="shared" si="135"/>
        <v>0</v>
      </c>
      <c r="AB278" s="248">
        <f t="shared" si="135"/>
        <v>0</v>
      </c>
    </row>
    <row r="279" spans="1:28" x14ac:dyDescent="0.2">
      <c r="A279" s="212" t="s">
        <v>56</v>
      </c>
      <c r="B279" s="58" t="s">
        <v>109</v>
      </c>
      <c r="C279" s="77" t="s">
        <v>69</v>
      </c>
      <c r="D279" s="78" t="s">
        <v>120</v>
      </c>
      <c r="E279" s="66" t="s">
        <v>348</v>
      </c>
      <c r="F279" s="66" t="s">
        <v>135</v>
      </c>
      <c r="G279" s="66" t="s">
        <v>135</v>
      </c>
      <c r="H279" s="66" t="s">
        <v>135</v>
      </c>
      <c r="I279" s="66" t="s">
        <v>303</v>
      </c>
      <c r="J279" s="67" t="s">
        <v>135</v>
      </c>
      <c r="K279" s="309" t="s">
        <v>57</v>
      </c>
      <c r="L279" s="101"/>
      <c r="M279" s="102"/>
      <c r="N279" s="248">
        <f t="shared" si="135"/>
        <v>2200000</v>
      </c>
      <c r="O279" s="248">
        <f t="shared" si="135"/>
        <v>0</v>
      </c>
      <c r="P279" s="248">
        <f t="shared" si="135"/>
        <v>2200000</v>
      </c>
      <c r="Q279" s="101">
        <f t="shared" si="135"/>
        <v>0</v>
      </c>
      <c r="R279" s="248">
        <f t="shared" si="135"/>
        <v>0</v>
      </c>
      <c r="S279" s="248">
        <f t="shared" si="135"/>
        <v>0</v>
      </c>
      <c r="T279" s="248">
        <f t="shared" si="135"/>
        <v>2200000</v>
      </c>
      <c r="U279" s="101">
        <f t="shared" si="135"/>
        <v>0</v>
      </c>
      <c r="V279" s="248">
        <f t="shared" si="135"/>
        <v>0</v>
      </c>
      <c r="W279" s="473">
        <f t="shared" si="135"/>
        <v>0</v>
      </c>
      <c r="X279" s="473">
        <f t="shared" si="135"/>
        <v>0</v>
      </c>
      <c r="Y279" s="248">
        <f t="shared" si="135"/>
        <v>0</v>
      </c>
      <c r="Z279" s="249">
        <f t="shared" si="135"/>
        <v>0</v>
      </c>
      <c r="AA279" s="248">
        <f t="shared" si="135"/>
        <v>0</v>
      </c>
      <c r="AB279" s="248">
        <f t="shared" si="135"/>
        <v>0</v>
      </c>
    </row>
    <row r="280" spans="1:28" ht="25.5" x14ac:dyDescent="0.2">
      <c r="A280" s="212" t="s">
        <v>58</v>
      </c>
      <c r="B280" s="58" t="s">
        <v>109</v>
      </c>
      <c r="C280" s="77" t="s">
        <v>69</v>
      </c>
      <c r="D280" s="78" t="s">
        <v>120</v>
      </c>
      <c r="E280" s="66" t="s">
        <v>348</v>
      </c>
      <c r="F280" s="66" t="s">
        <v>135</v>
      </c>
      <c r="G280" s="66" t="s">
        <v>135</v>
      </c>
      <c r="H280" s="66" t="s">
        <v>135</v>
      </c>
      <c r="I280" s="66" t="s">
        <v>303</v>
      </c>
      <c r="J280" s="67" t="s">
        <v>135</v>
      </c>
      <c r="K280" s="309" t="s">
        <v>59</v>
      </c>
      <c r="L280" s="101"/>
      <c r="M280" s="102"/>
      <c r="N280" s="248">
        <v>2200000</v>
      </c>
      <c r="O280" s="248">
        <v>0</v>
      </c>
      <c r="P280" s="248">
        <v>2200000</v>
      </c>
      <c r="Q280" s="101">
        <v>0</v>
      </c>
      <c r="R280" s="248">
        <v>0</v>
      </c>
      <c r="S280" s="248">
        <v>0</v>
      </c>
      <c r="T280" s="248">
        <v>2200000</v>
      </c>
      <c r="U280" s="101">
        <v>0</v>
      </c>
      <c r="V280" s="248">
        <v>0</v>
      </c>
      <c r="W280" s="473">
        <v>0</v>
      </c>
      <c r="X280" s="473">
        <v>0</v>
      </c>
      <c r="Y280" s="248">
        <v>0</v>
      </c>
      <c r="Z280" s="249">
        <v>0</v>
      </c>
      <c r="AA280" s="248">
        <v>0</v>
      </c>
      <c r="AB280" s="248">
        <v>0</v>
      </c>
    </row>
    <row r="281" spans="1:28" ht="25.5" x14ac:dyDescent="0.2">
      <c r="A281" s="212" t="s">
        <v>46</v>
      </c>
      <c r="B281" s="58" t="s">
        <v>109</v>
      </c>
      <c r="C281" s="58" t="s">
        <v>69</v>
      </c>
      <c r="D281" s="59" t="s">
        <v>120</v>
      </c>
      <c r="E281" s="66" t="s">
        <v>7</v>
      </c>
      <c r="F281" s="66" t="s">
        <v>135</v>
      </c>
      <c r="G281" s="66" t="s">
        <v>135</v>
      </c>
      <c r="H281" s="66" t="s">
        <v>135</v>
      </c>
      <c r="I281" s="66" t="s">
        <v>136</v>
      </c>
      <c r="J281" s="67" t="s">
        <v>135</v>
      </c>
      <c r="K281" s="309"/>
      <c r="L281" s="101"/>
      <c r="M281" s="102"/>
      <c r="N281" s="248">
        <f t="shared" ref="N281:O281" si="136">N282+N292+N304</f>
        <v>41467770.539999999</v>
      </c>
      <c r="O281" s="248">
        <f t="shared" si="136"/>
        <v>0</v>
      </c>
      <c r="P281" s="248">
        <f>P282+P292+P304+P307+P312+P301</f>
        <v>42242843.939999998</v>
      </c>
      <c r="Q281" s="248">
        <f t="shared" ref="Q281:AB281" si="137">Q282+Q292+Q304+Q307+Q312+Q301</f>
        <v>42435164.140000001</v>
      </c>
      <c r="R281" s="248">
        <f t="shared" si="137"/>
        <v>0</v>
      </c>
      <c r="S281" s="248">
        <f t="shared" si="137"/>
        <v>-1863227.46</v>
      </c>
      <c r="T281" s="248">
        <f t="shared" si="137"/>
        <v>40379616.479999997</v>
      </c>
      <c r="U281" s="249">
        <f t="shared" si="137"/>
        <v>42394294.140000001</v>
      </c>
      <c r="V281" s="248">
        <f t="shared" si="137"/>
        <v>44030698.189999998</v>
      </c>
      <c r="W281" s="248">
        <f t="shared" si="137"/>
        <v>457417.43</v>
      </c>
      <c r="X281" s="473">
        <f t="shared" si="137"/>
        <v>0</v>
      </c>
      <c r="Y281" s="248">
        <f t="shared" si="137"/>
        <v>42394294.140000001</v>
      </c>
      <c r="Z281" s="249">
        <f t="shared" si="137"/>
        <v>42394294.140000001</v>
      </c>
      <c r="AA281" s="248">
        <f t="shared" si="137"/>
        <v>0</v>
      </c>
      <c r="AB281" s="248">
        <f t="shared" si="137"/>
        <v>42394294.140000001</v>
      </c>
    </row>
    <row r="282" spans="1:28" ht="25.5" x14ac:dyDescent="0.2">
      <c r="A282" s="212" t="s">
        <v>51</v>
      </c>
      <c r="B282" s="58" t="s">
        <v>109</v>
      </c>
      <c r="C282" s="58" t="s">
        <v>69</v>
      </c>
      <c r="D282" s="59" t="s">
        <v>120</v>
      </c>
      <c r="E282" s="66" t="s">
        <v>7</v>
      </c>
      <c r="F282" s="66" t="s">
        <v>135</v>
      </c>
      <c r="G282" s="66" t="s">
        <v>135</v>
      </c>
      <c r="H282" s="66" t="s">
        <v>135</v>
      </c>
      <c r="I282" s="66" t="s">
        <v>13</v>
      </c>
      <c r="J282" s="67" t="s">
        <v>135</v>
      </c>
      <c r="K282" s="309"/>
      <c r="L282" s="68">
        <f t="shared" ref="L282:Z282" si="138">L283+L285+L287</f>
        <v>16345038.829999998</v>
      </c>
      <c r="M282" s="69">
        <f t="shared" si="138"/>
        <v>0</v>
      </c>
      <c r="N282" s="216">
        <f t="shared" si="138"/>
        <v>41328670.539999999</v>
      </c>
      <c r="O282" s="216">
        <f t="shared" si="138"/>
        <v>0</v>
      </c>
      <c r="P282" s="216">
        <f t="shared" si="138"/>
        <v>41328670.539999999</v>
      </c>
      <c r="Q282" s="68">
        <f t="shared" si="138"/>
        <v>41328670.539999999</v>
      </c>
      <c r="R282" s="216">
        <f t="shared" si="138"/>
        <v>0</v>
      </c>
      <c r="S282" s="216">
        <f>S283+S285+S287</f>
        <v>-2066657.64</v>
      </c>
      <c r="T282" s="216">
        <f>T283+T285+T287</f>
        <v>39262012.899999999</v>
      </c>
      <c r="U282" s="68">
        <f t="shared" si="138"/>
        <v>41328670.539999999</v>
      </c>
      <c r="V282" s="216">
        <f t="shared" si="138"/>
        <v>41328670.539999999</v>
      </c>
      <c r="W282" s="215">
        <f t="shared" si="138"/>
        <v>0</v>
      </c>
      <c r="X282" s="215">
        <f>X283+X285+X287</f>
        <v>0</v>
      </c>
      <c r="Y282" s="216">
        <f>Y283+Y285+Y287</f>
        <v>41328670.539999999</v>
      </c>
      <c r="Z282" s="217">
        <f t="shared" si="138"/>
        <v>41328670.539999999</v>
      </c>
      <c r="AA282" s="216">
        <f>AA283+AA285+AA287</f>
        <v>0</v>
      </c>
      <c r="AB282" s="216">
        <f>AB283+AB285+AB287</f>
        <v>41328670.539999999</v>
      </c>
    </row>
    <row r="283" spans="1:28" ht="51" x14ac:dyDescent="0.2">
      <c r="A283" s="212" t="s">
        <v>67</v>
      </c>
      <c r="B283" s="58" t="s">
        <v>109</v>
      </c>
      <c r="C283" s="58" t="s">
        <v>69</v>
      </c>
      <c r="D283" s="59" t="s">
        <v>120</v>
      </c>
      <c r="E283" s="66" t="s">
        <v>7</v>
      </c>
      <c r="F283" s="66" t="s">
        <v>135</v>
      </c>
      <c r="G283" s="66" t="s">
        <v>135</v>
      </c>
      <c r="H283" s="66" t="s">
        <v>135</v>
      </c>
      <c r="I283" s="66" t="s">
        <v>13</v>
      </c>
      <c r="J283" s="67" t="s">
        <v>135</v>
      </c>
      <c r="K283" s="309">
        <v>100</v>
      </c>
      <c r="L283" s="68">
        <f t="shared" ref="L283:AB283" si="139">L284</f>
        <v>10190538.369999999</v>
      </c>
      <c r="M283" s="69">
        <f t="shared" si="139"/>
        <v>0</v>
      </c>
      <c r="N283" s="216">
        <f t="shared" si="139"/>
        <v>23122426.870000001</v>
      </c>
      <c r="O283" s="216">
        <f t="shared" si="139"/>
        <v>0</v>
      </c>
      <c r="P283" s="216">
        <f t="shared" si="139"/>
        <v>23122426.870000001</v>
      </c>
      <c r="Q283" s="68">
        <f t="shared" si="139"/>
        <v>23122426.870000001</v>
      </c>
      <c r="R283" s="216">
        <f t="shared" si="139"/>
        <v>0</v>
      </c>
      <c r="S283" s="216">
        <f t="shared" si="139"/>
        <v>0</v>
      </c>
      <c r="T283" s="216">
        <f t="shared" si="139"/>
        <v>23122426.870000001</v>
      </c>
      <c r="U283" s="68">
        <f t="shared" si="139"/>
        <v>23122426.870000001</v>
      </c>
      <c r="V283" s="216">
        <f t="shared" si="139"/>
        <v>23122426.870000001</v>
      </c>
      <c r="W283" s="215">
        <f t="shared" si="139"/>
        <v>0</v>
      </c>
      <c r="X283" s="215">
        <f t="shared" si="139"/>
        <v>0</v>
      </c>
      <c r="Y283" s="216">
        <f t="shared" si="139"/>
        <v>23122426.870000001</v>
      </c>
      <c r="Z283" s="217">
        <f t="shared" si="139"/>
        <v>23122426.870000001</v>
      </c>
      <c r="AA283" s="216">
        <f t="shared" si="139"/>
        <v>0</v>
      </c>
      <c r="AB283" s="216">
        <f t="shared" si="139"/>
        <v>23122426.870000001</v>
      </c>
    </row>
    <row r="284" spans="1:28" x14ac:dyDescent="0.2">
      <c r="A284" s="212" t="s">
        <v>127</v>
      </c>
      <c r="B284" s="58" t="s">
        <v>109</v>
      </c>
      <c r="C284" s="58" t="s">
        <v>69</v>
      </c>
      <c r="D284" s="59" t="s">
        <v>120</v>
      </c>
      <c r="E284" s="66" t="s">
        <v>7</v>
      </c>
      <c r="F284" s="66" t="s">
        <v>135</v>
      </c>
      <c r="G284" s="66" t="s">
        <v>135</v>
      </c>
      <c r="H284" s="66" t="s">
        <v>135</v>
      </c>
      <c r="I284" s="66" t="s">
        <v>13</v>
      </c>
      <c r="J284" s="67" t="s">
        <v>135</v>
      </c>
      <c r="K284" s="309" t="s">
        <v>66</v>
      </c>
      <c r="L284" s="68">
        <v>10190538.369999999</v>
      </c>
      <c r="M284" s="69">
        <v>0</v>
      </c>
      <c r="N284" s="216">
        <f>23042839.23+79587.64</f>
        <v>23122426.870000001</v>
      </c>
      <c r="O284" s="216">
        <v>0</v>
      </c>
      <c r="P284" s="216">
        <f>23042839.23+79587.64</f>
        <v>23122426.870000001</v>
      </c>
      <c r="Q284" s="215">
        <f>23042839.23+79587.64</f>
        <v>23122426.870000001</v>
      </c>
      <c r="R284" s="216">
        <v>0</v>
      </c>
      <c r="S284" s="216">
        <v>0</v>
      </c>
      <c r="T284" s="216">
        <f>23042839.23+79587.64</f>
        <v>23122426.870000001</v>
      </c>
      <c r="U284" s="217">
        <f>23042839.23+79587.64</f>
        <v>23122426.870000001</v>
      </c>
      <c r="V284" s="216">
        <f>23042839.23+79587.64</f>
        <v>23122426.870000001</v>
      </c>
      <c r="W284" s="215">
        <v>0</v>
      </c>
      <c r="X284" s="215">
        <v>0</v>
      </c>
      <c r="Y284" s="216">
        <f>23042839.23+79587.64</f>
        <v>23122426.870000001</v>
      </c>
      <c r="Z284" s="217">
        <f>23042839.23+79587.64</f>
        <v>23122426.870000001</v>
      </c>
      <c r="AA284" s="216">
        <v>0</v>
      </c>
      <c r="AB284" s="216">
        <f>23042839.23+79587.64</f>
        <v>23122426.870000001</v>
      </c>
    </row>
    <row r="285" spans="1:28" ht="25.5" x14ac:dyDescent="0.2">
      <c r="A285" s="212" t="s">
        <v>52</v>
      </c>
      <c r="B285" s="58" t="s">
        <v>109</v>
      </c>
      <c r="C285" s="58" t="s">
        <v>69</v>
      </c>
      <c r="D285" s="59" t="s">
        <v>120</v>
      </c>
      <c r="E285" s="66" t="s">
        <v>7</v>
      </c>
      <c r="F285" s="66" t="s">
        <v>135</v>
      </c>
      <c r="G285" s="66" t="s">
        <v>135</v>
      </c>
      <c r="H285" s="66" t="s">
        <v>135</v>
      </c>
      <c r="I285" s="66" t="s">
        <v>13</v>
      </c>
      <c r="J285" s="67" t="s">
        <v>135</v>
      </c>
      <c r="K285" s="309">
        <v>200</v>
      </c>
      <c r="L285" s="68">
        <f t="shared" ref="L285:AB285" si="140">L286</f>
        <v>5994436.46</v>
      </c>
      <c r="M285" s="69">
        <f t="shared" si="140"/>
        <v>0</v>
      </c>
      <c r="N285" s="216">
        <f t="shared" si="140"/>
        <v>18062853.669999998</v>
      </c>
      <c r="O285" s="216">
        <f t="shared" si="140"/>
        <v>0</v>
      </c>
      <c r="P285" s="216">
        <f t="shared" si="140"/>
        <v>18062853.669999998</v>
      </c>
      <c r="Q285" s="68">
        <f t="shared" si="140"/>
        <v>18062853.669999998</v>
      </c>
      <c r="R285" s="216">
        <f t="shared" si="140"/>
        <v>0</v>
      </c>
      <c r="S285" s="216">
        <f t="shared" si="140"/>
        <v>-2066657.64</v>
      </c>
      <c r="T285" s="216">
        <f t="shared" si="140"/>
        <v>15996196.029999997</v>
      </c>
      <c r="U285" s="68">
        <f t="shared" si="140"/>
        <v>18062853.669999998</v>
      </c>
      <c r="V285" s="216">
        <f t="shared" si="140"/>
        <v>18062853.669999998</v>
      </c>
      <c r="W285" s="215">
        <f t="shared" si="140"/>
        <v>0</v>
      </c>
      <c r="X285" s="215">
        <f t="shared" si="140"/>
        <v>0</v>
      </c>
      <c r="Y285" s="216">
        <f t="shared" si="140"/>
        <v>18062853.669999998</v>
      </c>
      <c r="Z285" s="217">
        <f t="shared" si="140"/>
        <v>18062853.669999998</v>
      </c>
      <c r="AA285" s="216">
        <f t="shared" si="140"/>
        <v>0</v>
      </c>
      <c r="AB285" s="216">
        <f t="shared" si="140"/>
        <v>18062853.669999998</v>
      </c>
    </row>
    <row r="286" spans="1:28" ht="25.5" x14ac:dyDescent="0.2">
      <c r="A286" s="212" t="s">
        <v>54</v>
      </c>
      <c r="B286" s="58" t="s">
        <v>109</v>
      </c>
      <c r="C286" s="58" t="s">
        <v>69</v>
      </c>
      <c r="D286" s="59" t="s">
        <v>120</v>
      </c>
      <c r="E286" s="66" t="s">
        <v>7</v>
      </c>
      <c r="F286" s="66" t="s">
        <v>135</v>
      </c>
      <c r="G286" s="66" t="s">
        <v>135</v>
      </c>
      <c r="H286" s="66" t="s">
        <v>135</v>
      </c>
      <c r="I286" s="66" t="s">
        <v>13</v>
      </c>
      <c r="J286" s="67" t="s">
        <v>135</v>
      </c>
      <c r="K286" s="309">
        <v>240</v>
      </c>
      <c r="L286" s="68">
        <f>6026036.46-31600</f>
        <v>5994436.46</v>
      </c>
      <c r="M286" s="69">
        <v>0</v>
      </c>
      <c r="N286" s="216">
        <f>18142441.31-79587.64</f>
        <v>18062853.669999998</v>
      </c>
      <c r="O286" s="216">
        <v>0</v>
      </c>
      <c r="P286" s="216">
        <f>18142441.31-79587.64</f>
        <v>18062853.669999998</v>
      </c>
      <c r="Q286" s="215">
        <f>18142441.31-79587.64</f>
        <v>18062853.669999998</v>
      </c>
      <c r="R286" s="216">
        <v>0</v>
      </c>
      <c r="S286" s="216">
        <f>-1866666.68-199990.96</f>
        <v>-2066657.64</v>
      </c>
      <c r="T286" s="216">
        <f>S286+P286</f>
        <v>15996196.029999997</v>
      </c>
      <c r="U286" s="217">
        <f>18142441.31-79587.64</f>
        <v>18062853.669999998</v>
      </c>
      <c r="V286" s="216">
        <f>18142441.31-79587.64</f>
        <v>18062853.669999998</v>
      </c>
      <c r="W286" s="215">
        <v>0</v>
      </c>
      <c r="X286" s="215">
        <v>0</v>
      </c>
      <c r="Y286" s="216">
        <f>18142441.31-79587.64</f>
        <v>18062853.669999998</v>
      </c>
      <c r="Z286" s="217">
        <f>18142441.31-79587.64</f>
        <v>18062853.669999998</v>
      </c>
      <c r="AA286" s="216">
        <v>0</v>
      </c>
      <c r="AB286" s="216">
        <f>18142441.31-79587.64</f>
        <v>18062853.669999998</v>
      </c>
    </row>
    <row r="287" spans="1:28" x14ac:dyDescent="0.2">
      <c r="A287" s="212" t="s">
        <v>62</v>
      </c>
      <c r="B287" s="58" t="s">
        <v>109</v>
      </c>
      <c r="C287" s="58" t="s">
        <v>69</v>
      </c>
      <c r="D287" s="59" t="s">
        <v>120</v>
      </c>
      <c r="E287" s="66" t="s">
        <v>7</v>
      </c>
      <c r="F287" s="66" t="s">
        <v>135</v>
      </c>
      <c r="G287" s="66" t="s">
        <v>135</v>
      </c>
      <c r="H287" s="66" t="s">
        <v>135</v>
      </c>
      <c r="I287" s="66" t="s">
        <v>13</v>
      </c>
      <c r="J287" s="67" t="s">
        <v>135</v>
      </c>
      <c r="K287" s="309">
        <v>800</v>
      </c>
      <c r="L287" s="68">
        <f t="shared" ref="L287:AB287" si="141">L288</f>
        <v>160064</v>
      </c>
      <c r="M287" s="69">
        <f t="shared" si="141"/>
        <v>0</v>
      </c>
      <c r="N287" s="216">
        <f t="shared" si="141"/>
        <v>143390</v>
      </c>
      <c r="O287" s="216">
        <f t="shared" si="141"/>
        <v>0</v>
      </c>
      <c r="P287" s="216">
        <f t="shared" si="141"/>
        <v>143390</v>
      </c>
      <c r="Q287" s="68">
        <f t="shared" si="141"/>
        <v>143390</v>
      </c>
      <c r="R287" s="216">
        <f t="shared" si="141"/>
        <v>0</v>
      </c>
      <c r="S287" s="216">
        <f t="shared" si="141"/>
        <v>0</v>
      </c>
      <c r="T287" s="216">
        <f t="shared" si="141"/>
        <v>143390</v>
      </c>
      <c r="U287" s="68">
        <f t="shared" si="141"/>
        <v>143390</v>
      </c>
      <c r="V287" s="216">
        <f t="shared" si="141"/>
        <v>143390</v>
      </c>
      <c r="W287" s="215">
        <f t="shared" si="141"/>
        <v>0</v>
      </c>
      <c r="X287" s="215">
        <f t="shared" si="141"/>
        <v>0</v>
      </c>
      <c r="Y287" s="216">
        <f t="shared" si="141"/>
        <v>143390</v>
      </c>
      <c r="Z287" s="217">
        <f t="shared" si="141"/>
        <v>143390</v>
      </c>
      <c r="AA287" s="216">
        <f t="shared" si="141"/>
        <v>0</v>
      </c>
      <c r="AB287" s="216">
        <f t="shared" si="141"/>
        <v>143390</v>
      </c>
    </row>
    <row r="288" spans="1:28" x14ac:dyDescent="0.2">
      <c r="A288" s="212" t="s">
        <v>64</v>
      </c>
      <c r="B288" s="58" t="s">
        <v>109</v>
      </c>
      <c r="C288" s="58" t="s">
        <v>69</v>
      </c>
      <c r="D288" s="59" t="s">
        <v>120</v>
      </c>
      <c r="E288" s="66" t="s">
        <v>7</v>
      </c>
      <c r="F288" s="66" t="s">
        <v>135</v>
      </c>
      <c r="G288" s="66" t="s">
        <v>135</v>
      </c>
      <c r="H288" s="66" t="s">
        <v>135</v>
      </c>
      <c r="I288" s="66" t="s">
        <v>13</v>
      </c>
      <c r="J288" s="67" t="s">
        <v>135</v>
      </c>
      <c r="K288" s="309">
        <v>850</v>
      </c>
      <c r="L288" s="68">
        <v>160064</v>
      </c>
      <c r="M288" s="69">
        <v>0</v>
      </c>
      <c r="N288" s="216">
        <v>143390</v>
      </c>
      <c r="O288" s="216">
        <v>0</v>
      </c>
      <c r="P288" s="216">
        <v>143390</v>
      </c>
      <c r="Q288" s="215">
        <v>143390</v>
      </c>
      <c r="R288" s="216">
        <v>0</v>
      </c>
      <c r="S288" s="216">
        <v>0</v>
      </c>
      <c r="T288" s="216">
        <v>143390</v>
      </c>
      <c r="U288" s="217">
        <v>143390</v>
      </c>
      <c r="V288" s="216">
        <v>143390</v>
      </c>
      <c r="W288" s="215">
        <v>0</v>
      </c>
      <c r="X288" s="215">
        <v>0</v>
      </c>
      <c r="Y288" s="216">
        <v>143390</v>
      </c>
      <c r="Z288" s="217">
        <v>143390</v>
      </c>
      <c r="AA288" s="216">
        <v>0</v>
      </c>
      <c r="AB288" s="216">
        <v>143390</v>
      </c>
    </row>
    <row r="289" spans="1:28" ht="25.5" hidden="1" customHeight="1" x14ac:dyDescent="0.2">
      <c r="A289" s="258" t="s">
        <v>204</v>
      </c>
      <c r="B289" s="58" t="s">
        <v>109</v>
      </c>
      <c r="C289" s="58" t="s">
        <v>69</v>
      </c>
      <c r="D289" s="59" t="s">
        <v>120</v>
      </c>
      <c r="E289" s="66" t="s">
        <v>7</v>
      </c>
      <c r="F289" s="66" t="s">
        <v>135</v>
      </c>
      <c r="G289" s="66" t="s">
        <v>135</v>
      </c>
      <c r="H289" s="66" t="s">
        <v>135</v>
      </c>
      <c r="I289" s="79" t="s">
        <v>203</v>
      </c>
      <c r="J289" s="67" t="s">
        <v>135</v>
      </c>
      <c r="K289" s="332"/>
      <c r="L289" s="68">
        <f t="shared" ref="L289:AB290" si="142">L290</f>
        <v>0</v>
      </c>
      <c r="M289" s="69">
        <f t="shared" si="142"/>
        <v>0</v>
      </c>
      <c r="N289" s="216">
        <f t="shared" si="142"/>
        <v>0</v>
      </c>
      <c r="O289" s="216">
        <f t="shared" si="142"/>
        <v>0</v>
      </c>
      <c r="P289" s="216">
        <f t="shared" si="142"/>
        <v>0</v>
      </c>
      <c r="Q289" s="68">
        <f t="shared" si="142"/>
        <v>0</v>
      </c>
      <c r="R289" s="216">
        <f t="shared" si="142"/>
        <v>0</v>
      </c>
      <c r="S289" s="216">
        <f t="shared" si="142"/>
        <v>0</v>
      </c>
      <c r="T289" s="216">
        <f t="shared" si="142"/>
        <v>0</v>
      </c>
      <c r="U289" s="68">
        <f t="shared" si="142"/>
        <v>0</v>
      </c>
      <c r="V289" s="216">
        <f t="shared" si="142"/>
        <v>0</v>
      </c>
      <c r="W289" s="215">
        <f t="shared" si="142"/>
        <v>0</v>
      </c>
      <c r="X289" s="215">
        <f t="shared" si="142"/>
        <v>0</v>
      </c>
      <c r="Y289" s="216">
        <f t="shared" si="142"/>
        <v>0</v>
      </c>
      <c r="Z289" s="217">
        <f t="shared" si="142"/>
        <v>0</v>
      </c>
      <c r="AA289" s="216">
        <f t="shared" si="142"/>
        <v>0</v>
      </c>
      <c r="AB289" s="216">
        <f t="shared" si="142"/>
        <v>0</v>
      </c>
    </row>
    <row r="290" spans="1:28" ht="12.75" hidden="1" customHeight="1" x14ac:dyDescent="0.2">
      <c r="A290" s="212" t="s">
        <v>62</v>
      </c>
      <c r="B290" s="58" t="s">
        <v>109</v>
      </c>
      <c r="C290" s="58" t="s">
        <v>69</v>
      </c>
      <c r="D290" s="59" t="s">
        <v>120</v>
      </c>
      <c r="E290" s="66" t="s">
        <v>7</v>
      </c>
      <c r="F290" s="66" t="s">
        <v>135</v>
      </c>
      <c r="G290" s="66" t="s">
        <v>135</v>
      </c>
      <c r="H290" s="66" t="s">
        <v>135</v>
      </c>
      <c r="I290" s="66" t="s">
        <v>203</v>
      </c>
      <c r="J290" s="67" t="s">
        <v>135</v>
      </c>
      <c r="K290" s="309" t="s">
        <v>63</v>
      </c>
      <c r="L290" s="68">
        <f t="shared" si="142"/>
        <v>0</v>
      </c>
      <c r="M290" s="69">
        <f t="shared" si="142"/>
        <v>0</v>
      </c>
      <c r="N290" s="216">
        <f t="shared" si="142"/>
        <v>0</v>
      </c>
      <c r="O290" s="216">
        <f t="shared" si="142"/>
        <v>0</v>
      </c>
      <c r="P290" s="216">
        <f t="shared" si="142"/>
        <v>0</v>
      </c>
      <c r="Q290" s="68">
        <f t="shared" si="142"/>
        <v>0</v>
      </c>
      <c r="R290" s="216">
        <f t="shared" si="142"/>
        <v>0</v>
      </c>
      <c r="S290" s="216">
        <f t="shared" si="142"/>
        <v>0</v>
      </c>
      <c r="T290" s="216">
        <f t="shared" si="142"/>
        <v>0</v>
      </c>
      <c r="U290" s="68">
        <f t="shared" si="142"/>
        <v>0</v>
      </c>
      <c r="V290" s="216">
        <f t="shared" si="142"/>
        <v>0</v>
      </c>
      <c r="W290" s="215">
        <f t="shared" si="142"/>
        <v>0</v>
      </c>
      <c r="X290" s="215">
        <f t="shared" si="142"/>
        <v>0</v>
      </c>
      <c r="Y290" s="216">
        <f t="shared" si="142"/>
        <v>0</v>
      </c>
      <c r="Z290" s="217">
        <f t="shared" si="142"/>
        <v>0</v>
      </c>
      <c r="AA290" s="216">
        <f t="shared" si="142"/>
        <v>0</v>
      </c>
      <c r="AB290" s="216">
        <f t="shared" si="142"/>
        <v>0</v>
      </c>
    </row>
    <row r="291" spans="1:28" ht="12.75" hidden="1" customHeight="1" x14ac:dyDescent="0.2">
      <c r="A291" s="212" t="s">
        <v>174</v>
      </c>
      <c r="B291" s="58" t="s">
        <v>109</v>
      </c>
      <c r="C291" s="58" t="s">
        <v>69</v>
      </c>
      <c r="D291" s="59" t="s">
        <v>120</v>
      </c>
      <c r="E291" s="66" t="s">
        <v>7</v>
      </c>
      <c r="F291" s="66" t="s">
        <v>135</v>
      </c>
      <c r="G291" s="66" t="s">
        <v>135</v>
      </c>
      <c r="H291" s="66" t="s">
        <v>135</v>
      </c>
      <c r="I291" s="66" t="s">
        <v>203</v>
      </c>
      <c r="J291" s="67" t="s">
        <v>135</v>
      </c>
      <c r="K291" s="309" t="s">
        <v>173</v>
      </c>
      <c r="L291" s="68">
        <v>0</v>
      </c>
      <c r="M291" s="69">
        <v>0</v>
      </c>
      <c r="N291" s="216">
        <v>0</v>
      </c>
      <c r="O291" s="216">
        <v>0</v>
      </c>
      <c r="P291" s="216">
        <v>0</v>
      </c>
      <c r="Q291" s="68">
        <v>0</v>
      </c>
      <c r="R291" s="216">
        <v>0</v>
      </c>
      <c r="S291" s="216">
        <v>0</v>
      </c>
      <c r="T291" s="216">
        <v>0</v>
      </c>
      <c r="U291" s="68">
        <v>0</v>
      </c>
      <c r="V291" s="216">
        <v>0</v>
      </c>
      <c r="W291" s="215">
        <v>0</v>
      </c>
      <c r="X291" s="215">
        <v>0</v>
      </c>
      <c r="Y291" s="216">
        <v>0</v>
      </c>
      <c r="Z291" s="217">
        <v>0</v>
      </c>
      <c r="AA291" s="216">
        <v>0</v>
      </c>
      <c r="AB291" s="216">
        <v>0</v>
      </c>
    </row>
    <row r="292" spans="1:28" ht="25.5" x14ac:dyDescent="0.2">
      <c r="A292" s="207" t="s">
        <v>47</v>
      </c>
      <c r="B292" s="58" t="s">
        <v>109</v>
      </c>
      <c r="C292" s="58" t="s">
        <v>69</v>
      </c>
      <c r="D292" s="59" t="s">
        <v>120</v>
      </c>
      <c r="E292" s="66" t="s">
        <v>7</v>
      </c>
      <c r="F292" s="66" t="s">
        <v>135</v>
      </c>
      <c r="G292" s="66" t="s">
        <v>135</v>
      </c>
      <c r="H292" s="66" t="s">
        <v>135</v>
      </c>
      <c r="I292" s="66" t="s">
        <v>16</v>
      </c>
      <c r="J292" s="67" t="s">
        <v>135</v>
      </c>
      <c r="K292" s="309"/>
      <c r="L292" s="68" t="e">
        <f>L295+#REF!+L293+L297</f>
        <v>#REF!</v>
      </c>
      <c r="M292" s="69" t="e">
        <f>M295+#REF!+M293+M297</f>
        <v>#REF!</v>
      </c>
      <c r="N292" s="216">
        <f t="shared" ref="N292:Z292" si="143">N295+N293+N297+N299</f>
        <v>139100</v>
      </c>
      <c r="O292" s="216">
        <f t="shared" si="143"/>
        <v>0</v>
      </c>
      <c r="P292" s="216">
        <f t="shared" si="143"/>
        <v>139100</v>
      </c>
      <c r="Q292" s="68">
        <f t="shared" si="143"/>
        <v>705623.6</v>
      </c>
      <c r="R292" s="216">
        <f t="shared" si="143"/>
        <v>0</v>
      </c>
      <c r="S292" s="216">
        <f>S295+S293+S297+S299</f>
        <v>75000</v>
      </c>
      <c r="T292" s="216">
        <f>T295+T293+T297+T299</f>
        <v>214100</v>
      </c>
      <c r="U292" s="68">
        <f t="shared" si="143"/>
        <v>705623.6</v>
      </c>
      <c r="V292" s="216">
        <f t="shared" si="143"/>
        <v>705623.6</v>
      </c>
      <c r="W292" s="215">
        <f t="shared" si="143"/>
        <v>0</v>
      </c>
      <c r="X292" s="215">
        <f>X295+X293+X297+X299</f>
        <v>0</v>
      </c>
      <c r="Y292" s="216">
        <f>Y295+Y293+Y297+Y299</f>
        <v>705623.6</v>
      </c>
      <c r="Z292" s="217">
        <f t="shared" si="143"/>
        <v>705623.6</v>
      </c>
      <c r="AA292" s="216">
        <f>AA295+AA293+AA297+AA299</f>
        <v>0</v>
      </c>
      <c r="AB292" s="216">
        <f>AB295+AB293+AB297+AB299</f>
        <v>705623.6</v>
      </c>
    </row>
    <row r="293" spans="1:28" ht="51" x14ac:dyDescent="0.2">
      <c r="A293" s="212" t="s">
        <v>67</v>
      </c>
      <c r="B293" s="58" t="s">
        <v>109</v>
      </c>
      <c r="C293" s="58" t="s">
        <v>69</v>
      </c>
      <c r="D293" s="59" t="s">
        <v>120</v>
      </c>
      <c r="E293" s="66" t="s">
        <v>7</v>
      </c>
      <c r="F293" s="66" t="s">
        <v>135</v>
      </c>
      <c r="G293" s="66" t="s">
        <v>135</v>
      </c>
      <c r="H293" s="66" t="s">
        <v>135</v>
      </c>
      <c r="I293" s="66" t="s">
        <v>16</v>
      </c>
      <c r="J293" s="67" t="s">
        <v>135</v>
      </c>
      <c r="K293" s="309" t="s">
        <v>60</v>
      </c>
      <c r="L293" s="68">
        <f t="shared" ref="L293:AB293" si="144">L294</f>
        <v>24000</v>
      </c>
      <c r="M293" s="69">
        <f t="shared" si="144"/>
        <v>0</v>
      </c>
      <c r="N293" s="216">
        <f t="shared" si="144"/>
        <v>0</v>
      </c>
      <c r="O293" s="216">
        <f t="shared" si="144"/>
        <v>0</v>
      </c>
      <c r="P293" s="216">
        <f t="shared" si="144"/>
        <v>0</v>
      </c>
      <c r="Q293" s="68">
        <f t="shared" si="144"/>
        <v>24000</v>
      </c>
      <c r="R293" s="216">
        <f t="shared" si="144"/>
        <v>0</v>
      </c>
      <c r="S293" s="216">
        <f t="shared" si="144"/>
        <v>0</v>
      </c>
      <c r="T293" s="216">
        <f t="shared" si="144"/>
        <v>0</v>
      </c>
      <c r="U293" s="68">
        <f t="shared" si="144"/>
        <v>24000</v>
      </c>
      <c r="V293" s="216">
        <f t="shared" si="144"/>
        <v>24000</v>
      </c>
      <c r="W293" s="215">
        <f t="shared" si="144"/>
        <v>0</v>
      </c>
      <c r="X293" s="215">
        <f t="shared" si="144"/>
        <v>0</v>
      </c>
      <c r="Y293" s="216">
        <f t="shared" si="144"/>
        <v>24000</v>
      </c>
      <c r="Z293" s="217">
        <f t="shared" si="144"/>
        <v>24000</v>
      </c>
      <c r="AA293" s="216">
        <f t="shared" si="144"/>
        <v>0</v>
      </c>
      <c r="AB293" s="216">
        <f t="shared" si="144"/>
        <v>24000</v>
      </c>
    </row>
    <row r="294" spans="1:28" ht="25.5" x14ac:dyDescent="0.2">
      <c r="A294" s="212" t="s">
        <v>61</v>
      </c>
      <c r="B294" s="58" t="s">
        <v>109</v>
      </c>
      <c r="C294" s="58" t="s">
        <v>69</v>
      </c>
      <c r="D294" s="59" t="s">
        <v>120</v>
      </c>
      <c r="E294" s="66" t="s">
        <v>7</v>
      </c>
      <c r="F294" s="66" t="s">
        <v>135</v>
      </c>
      <c r="G294" s="66" t="s">
        <v>135</v>
      </c>
      <c r="H294" s="66" t="s">
        <v>135</v>
      </c>
      <c r="I294" s="66" t="s">
        <v>16</v>
      </c>
      <c r="J294" s="67" t="s">
        <v>135</v>
      </c>
      <c r="K294" s="309" t="s">
        <v>171</v>
      </c>
      <c r="L294" s="68">
        <v>24000</v>
      </c>
      <c r="M294" s="69">
        <v>0</v>
      </c>
      <c r="N294" s="216">
        <v>0</v>
      </c>
      <c r="O294" s="215">
        <v>0</v>
      </c>
      <c r="P294" s="216">
        <v>0</v>
      </c>
      <c r="Q294" s="68">
        <v>24000</v>
      </c>
      <c r="R294" s="216">
        <v>0</v>
      </c>
      <c r="S294" s="216">
        <v>0</v>
      </c>
      <c r="T294" s="216">
        <v>0</v>
      </c>
      <c r="U294" s="68">
        <v>24000</v>
      </c>
      <c r="V294" s="216">
        <v>24000</v>
      </c>
      <c r="W294" s="215">
        <v>0</v>
      </c>
      <c r="X294" s="215">
        <v>0</v>
      </c>
      <c r="Y294" s="216">
        <v>24000</v>
      </c>
      <c r="Z294" s="217">
        <v>24000</v>
      </c>
      <c r="AA294" s="216">
        <v>0</v>
      </c>
      <c r="AB294" s="216">
        <v>24000</v>
      </c>
    </row>
    <row r="295" spans="1:28" ht="25.5" x14ac:dyDescent="0.2">
      <c r="A295" s="212" t="s">
        <v>52</v>
      </c>
      <c r="B295" s="58" t="s">
        <v>109</v>
      </c>
      <c r="C295" s="58" t="s">
        <v>69</v>
      </c>
      <c r="D295" s="59" t="s">
        <v>120</v>
      </c>
      <c r="E295" s="66" t="s">
        <v>7</v>
      </c>
      <c r="F295" s="66" t="s">
        <v>135</v>
      </c>
      <c r="G295" s="66" t="s">
        <v>135</v>
      </c>
      <c r="H295" s="66" t="s">
        <v>135</v>
      </c>
      <c r="I295" s="66" t="s">
        <v>16</v>
      </c>
      <c r="J295" s="67" t="s">
        <v>135</v>
      </c>
      <c r="K295" s="309">
        <v>200</v>
      </c>
      <c r="L295" s="68">
        <f t="shared" ref="L295:AB295" si="145">L296</f>
        <v>623186</v>
      </c>
      <c r="M295" s="69">
        <f t="shared" si="145"/>
        <v>0</v>
      </c>
      <c r="N295" s="216">
        <f t="shared" si="145"/>
        <v>139100</v>
      </c>
      <c r="O295" s="215">
        <f t="shared" si="145"/>
        <v>0</v>
      </c>
      <c r="P295" s="216">
        <f t="shared" si="145"/>
        <v>139100</v>
      </c>
      <c r="Q295" s="68">
        <f t="shared" si="145"/>
        <v>546623.6</v>
      </c>
      <c r="R295" s="216">
        <f t="shared" si="145"/>
        <v>0</v>
      </c>
      <c r="S295" s="216">
        <f t="shared" si="145"/>
        <v>0</v>
      </c>
      <c r="T295" s="216">
        <f t="shared" si="145"/>
        <v>139100</v>
      </c>
      <c r="U295" s="68">
        <f t="shared" si="145"/>
        <v>546623.6</v>
      </c>
      <c r="V295" s="216">
        <f t="shared" si="145"/>
        <v>546623.6</v>
      </c>
      <c r="W295" s="215">
        <f t="shared" si="145"/>
        <v>0</v>
      </c>
      <c r="X295" s="215">
        <f t="shared" si="145"/>
        <v>0</v>
      </c>
      <c r="Y295" s="216">
        <f t="shared" si="145"/>
        <v>546623.6</v>
      </c>
      <c r="Z295" s="217">
        <f t="shared" si="145"/>
        <v>546623.6</v>
      </c>
      <c r="AA295" s="216">
        <f t="shared" si="145"/>
        <v>0</v>
      </c>
      <c r="AB295" s="216">
        <f t="shared" si="145"/>
        <v>546623.6</v>
      </c>
    </row>
    <row r="296" spans="1:28" ht="25.5" x14ac:dyDescent="0.2">
      <c r="A296" s="212" t="s">
        <v>54</v>
      </c>
      <c r="B296" s="59" t="s">
        <v>109</v>
      </c>
      <c r="C296" s="58" t="s">
        <v>69</v>
      </c>
      <c r="D296" s="59" t="s">
        <v>120</v>
      </c>
      <c r="E296" s="66" t="s">
        <v>7</v>
      </c>
      <c r="F296" s="66" t="s">
        <v>135</v>
      </c>
      <c r="G296" s="66" t="s">
        <v>135</v>
      </c>
      <c r="H296" s="66" t="s">
        <v>135</v>
      </c>
      <c r="I296" s="66" t="s">
        <v>16</v>
      </c>
      <c r="J296" s="67" t="s">
        <v>135</v>
      </c>
      <c r="K296" s="309">
        <v>240</v>
      </c>
      <c r="L296" s="68">
        <v>623186</v>
      </c>
      <c r="M296" s="69">
        <v>0</v>
      </c>
      <c r="N296" s="216">
        <v>139100</v>
      </c>
      <c r="O296" s="215">
        <v>0</v>
      </c>
      <c r="P296" s="216">
        <v>139100</v>
      </c>
      <c r="Q296" s="68">
        <f>474683.6+71940</f>
        <v>546623.6</v>
      </c>
      <c r="R296" s="216">
        <v>0</v>
      </c>
      <c r="S296" s="216">
        <v>0</v>
      </c>
      <c r="T296" s="216">
        <f>S296+P296</f>
        <v>139100</v>
      </c>
      <c r="U296" s="68">
        <f>474683.6+71940</f>
        <v>546623.6</v>
      </c>
      <c r="V296" s="216">
        <f>474683.6+71940</f>
        <v>546623.6</v>
      </c>
      <c r="W296" s="215">
        <v>0</v>
      </c>
      <c r="X296" s="215">
        <v>0</v>
      </c>
      <c r="Y296" s="216">
        <f>474683.6+71940</f>
        <v>546623.6</v>
      </c>
      <c r="Z296" s="217">
        <f>474683.6+71940</f>
        <v>546623.6</v>
      </c>
      <c r="AA296" s="216">
        <v>0</v>
      </c>
      <c r="AB296" s="216">
        <f>474683.6+71940</f>
        <v>546623.6</v>
      </c>
    </row>
    <row r="297" spans="1:28" ht="18" customHeight="1" x14ac:dyDescent="0.2">
      <c r="A297" s="286" t="s">
        <v>154</v>
      </c>
      <c r="B297" s="59" t="s">
        <v>109</v>
      </c>
      <c r="C297" s="58" t="s">
        <v>69</v>
      </c>
      <c r="D297" s="59" t="s">
        <v>120</v>
      </c>
      <c r="E297" s="66" t="s">
        <v>7</v>
      </c>
      <c r="F297" s="66" t="s">
        <v>135</v>
      </c>
      <c r="G297" s="66" t="s">
        <v>135</v>
      </c>
      <c r="H297" s="66" t="s">
        <v>135</v>
      </c>
      <c r="I297" s="66" t="s">
        <v>16</v>
      </c>
      <c r="J297" s="67" t="s">
        <v>135</v>
      </c>
      <c r="K297" s="214" t="s">
        <v>57</v>
      </c>
      <c r="L297" s="68">
        <f t="shared" ref="L297:AB297" si="146">L298</f>
        <v>60000</v>
      </c>
      <c r="M297" s="69">
        <f t="shared" si="146"/>
        <v>0</v>
      </c>
      <c r="N297" s="216">
        <f t="shared" si="146"/>
        <v>0</v>
      </c>
      <c r="O297" s="215">
        <f t="shared" si="146"/>
        <v>0</v>
      </c>
      <c r="P297" s="216">
        <f t="shared" si="146"/>
        <v>0</v>
      </c>
      <c r="Q297" s="68">
        <f t="shared" si="146"/>
        <v>60000</v>
      </c>
      <c r="R297" s="216">
        <f t="shared" si="146"/>
        <v>0</v>
      </c>
      <c r="S297" s="216">
        <f t="shared" si="146"/>
        <v>0</v>
      </c>
      <c r="T297" s="216">
        <f t="shared" si="146"/>
        <v>0</v>
      </c>
      <c r="U297" s="68">
        <f t="shared" si="146"/>
        <v>60000</v>
      </c>
      <c r="V297" s="216">
        <f t="shared" si="146"/>
        <v>60000</v>
      </c>
      <c r="W297" s="215">
        <f t="shared" si="146"/>
        <v>0</v>
      </c>
      <c r="X297" s="215">
        <f t="shared" si="146"/>
        <v>0</v>
      </c>
      <c r="Y297" s="216">
        <f t="shared" si="146"/>
        <v>60000</v>
      </c>
      <c r="Z297" s="217">
        <f t="shared" si="146"/>
        <v>60000</v>
      </c>
      <c r="AA297" s="216">
        <f t="shared" si="146"/>
        <v>0</v>
      </c>
      <c r="AB297" s="216">
        <f t="shared" si="146"/>
        <v>60000</v>
      </c>
    </row>
    <row r="298" spans="1:28" x14ac:dyDescent="0.2">
      <c r="A298" s="212" t="s">
        <v>155</v>
      </c>
      <c r="B298" s="59" t="s">
        <v>109</v>
      </c>
      <c r="C298" s="58" t="s">
        <v>69</v>
      </c>
      <c r="D298" s="59" t="s">
        <v>120</v>
      </c>
      <c r="E298" s="66" t="s">
        <v>7</v>
      </c>
      <c r="F298" s="66" t="s">
        <v>135</v>
      </c>
      <c r="G298" s="66" t="s">
        <v>135</v>
      </c>
      <c r="H298" s="66" t="s">
        <v>135</v>
      </c>
      <c r="I298" s="66" t="s">
        <v>16</v>
      </c>
      <c r="J298" s="67" t="s">
        <v>135</v>
      </c>
      <c r="K298" s="214" t="s">
        <v>153</v>
      </c>
      <c r="L298" s="68">
        <v>60000</v>
      </c>
      <c r="M298" s="69">
        <v>0</v>
      </c>
      <c r="N298" s="216">
        <v>0</v>
      </c>
      <c r="O298" s="215">
        <v>0</v>
      </c>
      <c r="P298" s="216">
        <v>0</v>
      </c>
      <c r="Q298" s="68">
        <v>60000</v>
      </c>
      <c r="R298" s="216">
        <v>0</v>
      </c>
      <c r="S298" s="216">
        <v>0</v>
      </c>
      <c r="T298" s="216">
        <v>0</v>
      </c>
      <c r="U298" s="217">
        <v>60000</v>
      </c>
      <c r="V298" s="216">
        <v>60000</v>
      </c>
      <c r="W298" s="215">
        <v>0</v>
      </c>
      <c r="X298" s="215">
        <v>0</v>
      </c>
      <c r="Y298" s="216">
        <v>60000</v>
      </c>
      <c r="Z298" s="217">
        <v>60000</v>
      </c>
      <c r="AA298" s="216">
        <v>0</v>
      </c>
      <c r="AB298" s="217">
        <v>60000</v>
      </c>
    </row>
    <row r="299" spans="1:28" x14ac:dyDescent="0.2">
      <c r="A299" s="212" t="s">
        <v>62</v>
      </c>
      <c r="B299" s="59" t="s">
        <v>109</v>
      </c>
      <c r="C299" s="58" t="s">
        <v>69</v>
      </c>
      <c r="D299" s="59" t="s">
        <v>120</v>
      </c>
      <c r="E299" s="66" t="s">
        <v>7</v>
      </c>
      <c r="F299" s="66" t="s">
        <v>135</v>
      </c>
      <c r="G299" s="66" t="s">
        <v>135</v>
      </c>
      <c r="H299" s="66" t="s">
        <v>135</v>
      </c>
      <c r="I299" s="66" t="s">
        <v>16</v>
      </c>
      <c r="J299" s="67" t="s">
        <v>135</v>
      </c>
      <c r="K299" s="214" t="s">
        <v>63</v>
      </c>
      <c r="L299" s="68"/>
      <c r="M299" s="69"/>
      <c r="N299" s="216">
        <f t="shared" ref="N299:AB299" si="147">N300</f>
        <v>0</v>
      </c>
      <c r="O299" s="215">
        <f t="shared" si="147"/>
        <v>0</v>
      </c>
      <c r="P299" s="216">
        <f t="shared" si="147"/>
        <v>0</v>
      </c>
      <c r="Q299" s="68">
        <f t="shared" si="147"/>
        <v>75000</v>
      </c>
      <c r="R299" s="215">
        <f t="shared" si="147"/>
        <v>0</v>
      </c>
      <c r="S299" s="216">
        <f t="shared" si="147"/>
        <v>75000</v>
      </c>
      <c r="T299" s="216">
        <f t="shared" si="147"/>
        <v>75000</v>
      </c>
      <c r="U299" s="217">
        <f t="shared" si="147"/>
        <v>75000</v>
      </c>
      <c r="V299" s="216">
        <f t="shared" si="147"/>
        <v>75000</v>
      </c>
      <c r="W299" s="215">
        <f t="shared" si="147"/>
        <v>0</v>
      </c>
      <c r="X299" s="215">
        <f t="shared" si="147"/>
        <v>0</v>
      </c>
      <c r="Y299" s="216">
        <f t="shared" si="147"/>
        <v>75000</v>
      </c>
      <c r="Z299" s="217">
        <f t="shared" si="147"/>
        <v>75000</v>
      </c>
      <c r="AA299" s="216">
        <f t="shared" si="147"/>
        <v>0</v>
      </c>
      <c r="AB299" s="217">
        <f t="shared" si="147"/>
        <v>75000</v>
      </c>
    </row>
    <row r="300" spans="1:28" x14ac:dyDescent="0.2">
      <c r="A300" s="212" t="s">
        <v>64</v>
      </c>
      <c r="B300" s="59" t="s">
        <v>109</v>
      </c>
      <c r="C300" s="58" t="s">
        <v>69</v>
      </c>
      <c r="D300" s="59" t="s">
        <v>120</v>
      </c>
      <c r="E300" s="66" t="s">
        <v>7</v>
      </c>
      <c r="F300" s="66" t="s">
        <v>135</v>
      </c>
      <c r="G300" s="66" t="s">
        <v>135</v>
      </c>
      <c r="H300" s="66" t="s">
        <v>135</v>
      </c>
      <c r="I300" s="66" t="s">
        <v>16</v>
      </c>
      <c r="J300" s="67" t="s">
        <v>135</v>
      </c>
      <c r="K300" s="214" t="s">
        <v>65</v>
      </c>
      <c r="L300" s="68"/>
      <c r="M300" s="69"/>
      <c r="N300" s="216">
        <v>0</v>
      </c>
      <c r="O300" s="215">
        <v>0</v>
      </c>
      <c r="P300" s="216">
        <v>0</v>
      </c>
      <c r="Q300" s="68">
        <v>75000</v>
      </c>
      <c r="R300" s="215">
        <v>0</v>
      </c>
      <c r="S300" s="216">
        <v>75000</v>
      </c>
      <c r="T300" s="216">
        <f>S300</f>
        <v>75000</v>
      </c>
      <c r="U300" s="217">
        <v>75000</v>
      </c>
      <c r="V300" s="216">
        <v>75000</v>
      </c>
      <c r="W300" s="215">
        <v>0</v>
      </c>
      <c r="X300" s="215">
        <v>0</v>
      </c>
      <c r="Y300" s="216">
        <v>75000</v>
      </c>
      <c r="Z300" s="217">
        <v>75000</v>
      </c>
      <c r="AA300" s="216">
        <v>0</v>
      </c>
      <c r="AB300" s="217">
        <v>75000</v>
      </c>
    </row>
    <row r="301" spans="1:28" x14ac:dyDescent="0.2">
      <c r="A301" s="258" t="s">
        <v>435</v>
      </c>
      <c r="B301" s="59" t="s">
        <v>109</v>
      </c>
      <c r="C301" s="59" t="s">
        <v>69</v>
      </c>
      <c r="D301" s="58" t="s">
        <v>120</v>
      </c>
      <c r="E301" s="103" t="s">
        <v>7</v>
      </c>
      <c r="F301" s="66" t="s">
        <v>135</v>
      </c>
      <c r="G301" s="66" t="s">
        <v>135</v>
      </c>
      <c r="H301" s="66" t="s">
        <v>135</v>
      </c>
      <c r="I301" s="66" t="s">
        <v>436</v>
      </c>
      <c r="J301" s="67" t="s">
        <v>135</v>
      </c>
      <c r="K301" s="214"/>
      <c r="L301" s="68"/>
      <c r="M301" s="69"/>
      <c r="N301" s="502">
        <f t="shared" ref="N301:AB302" si="148">N302</f>
        <v>40870</v>
      </c>
      <c r="O301" s="69">
        <f t="shared" si="148"/>
        <v>-14546</v>
      </c>
      <c r="P301" s="216">
        <f t="shared" si="148"/>
        <v>0</v>
      </c>
      <c r="Q301" s="68">
        <f t="shared" si="148"/>
        <v>40870</v>
      </c>
      <c r="R301" s="69">
        <f t="shared" si="148"/>
        <v>0</v>
      </c>
      <c r="S301" s="216">
        <f t="shared" si="148"/>
        <v>1788</v>
      </c>
      <c r="T301" s="216">
        <f t="shared" si="148"/>
        <v>1788</v>
      </c>
      <c r="U301" s="217">
        <f t="shared" si="148"/>
        <v>0</v>
      </c>
      <c r="V301" s="498">
        <f t="shared" si="148"/>
        <v>40870</v>
      </c>
      <c r="W301" s="215"/>
      <c r="X301" s="215">
        <f t="shared" si="148"/>
        <v>0</v>
      </c>
      <c r="Y301" s="216">
        <f t="shared" si="148"/>
        <v>0</v>
      </c>
      <c r="Z301" s="217">
        <f t="shared" si="148"/>
        <v>0</v>
      </c>
      <c r="AA301" s="216">
        <f t="shared" si="148"/>
        <v>0</v>
      </c>
      <c r="AB301" s="217">
        <f t="shared" si="148"/>
        <v>0</v>
      </c>
    </row>
    <row r="302" spans="1:28" x14ac:dyDescent="0.2">
      <c r="A302" s="212" t="s">
        <v>62</v>
      </c>
      <c r="B302" s="59" t="s">
        <v>109</v>
      </c>
      <c r="C302" s="59" t="s">
        <v>69</v>
      </c>
      <c r="D302" s="58" t="s">
        <v>120</v>
      </c>
      <c r="E302" s="103" t="s">
        <v>7</v>
      </c>
      <c r="F302" s="66" t="s">
        <v>135</v>
      </c>
      <c r="G302" s="66" t="s">
        <v>135</v>
      </c>
      <c r="H302" s="66" t="s">
        <v>135</v>
      </c>
      <c r="I302" s="66" t="s">
        <v>436</v>
      </c>
      <c r="J302" s="67" t="s">
        <v>135</v>
      </c>
      <c r="K302" s="214" t="s">
        <v>63</v>
      </c>
      <c r="L302" s="68"/>
      <c r="M302" s="69"/>
      <c r="N302" s="502">
        <f t="shared" si="148"/>
        <v>40870</v>
      </c>
      <c r="O302" s="69">
        <f t="shared" si="148"/>
        <v>-14546</v>
      </c>
      <c r="P302" s="216">
        <f t="shared" si="148"/>
        <v>0</v>
      </c>
      <c r="Q302" s="68">
        <f t="shared" si="148"/>
        <v>40870</v>
      </c>
      <c r="R302" s="69">
        <f t="shared" si="148"/>
        <v>0</v>
      </c>
      <c r="S302" s="216">
        <f t="shared" si="148"/>
        <v>1788</v>
      </c>
      <c r="T302" s="216">
        <f t="shared" si="148"/>
        <v>1788</v>
      </c>
      <c r="U302" s="217">
        <f t="shared" si="148"/>
        <v>0</v>
      </c>
      <c r="V302" s="498">
        <f t="shared" si="148"/>
        <v>40870</v>
      </c>
      <c r="W302" s="215"/>
      <c r="X302" s="215">
        <f t="shared" si="148"/>
        <v>0</v>
      </c>
      <c r="Y302" s="216">
        <f t="shared" si="148"/>
        <v>0</v>
      </c>
      <c r="Z302" s="217">
        <f t="shared" si="148"/>
        <v>0</v>
      </c>
      <c r="AA302" s="216">
        <f t="shared" si="148"/>
        <v>0</v>
      </c>
      <c r="AB302" s="217">
        <f t="shared" si="148"/>
        <v>0</v>
      </c>
    </row>
    <row r="303" spans="1:28" x14ac:dyDescent="0.2">
      <c r="A303" s="212" t="s">
        <v>64</v>
      </c>
      <c r="B303" s="59" t="s">
        <v>109</v>
      </c>
      <c r="C303" s="59" t="s">
        <v>69</v>
      </c>
      <c r="D303" s="58" t="s">
        <v>120</v>
      </c>
      <c r="E303" s="103" t="s">
        <v>7</v>
      </c>
      <c r="F303" s="66" t="s">
        <v>135</v>
      </c>
      <c r="G303" s="66" t="s">
        <v>135</v>
      </c>
      <c r="H303" s="66" t="s">
        <v>135</v>
      </c>
      <c r="I303" s="66" t="s">
        <v>436</v>
      </c>
      <c r="J303" s="67" t="s">
        <v>135</v>
      </c>
      <c r="K303" s="214" t="s">
        <v>65</v>
      </c>
      <c r="L303" s="68"/>
      <c r="M303" s="69"/>
      <c r="N303" s="502">
        <v>40870</v>
      </c>
      <c r="O303" s="69">
        <v>-14546</v>
      </c>
      <c r="P303" s="216">
        <v>0</v>
      </c>
      <c r="Q303" s="68">
        <v>40870</v>
      </c>
      <c r="R303" s="69">
        <v>0</v>
      </c>
      <c r="S303" s="216">
        <v>1788</v>
      </c>
      <c r="T303" s="216">
        <v>1788</v>
      </c>
      <c r="U303" s="217">
        <v>0</v>
      </c>
      <c r="V303" s="498">
        <v>40870</v>
      </c>
      <c r="W303" s="215"/>
      <c r="X303" s="215">
        <v>0</v>
      </c>
      <c r="Y303" s="216">
        <v>0</v>
      </c>
      <c r="Z303" s="217">
        <v>0</v>
      </c>
      <c r="AA303" s="216">
        <v>0</v>
      </c>
      <c r="AB303" s="217">
        <v>0</v>
      </c>
    </row>
    <row r="304" spans="1:28" x14ac:dyDescent="0.2">
      <c r="A304" s="207" t="s">
        <v>48</v>
      </c>
      <c r="B304" s="59" t="s">
        <v>109</v>
      </c>
      <c r="C304" s="58" t="s">
        <v>69</v>
      </c>
      <c r="D304" s="59" t="s">
        <v>120</v>
      </c>
      <c r="E304" s="66" t="s">
        <v>7</v>
      </c>
      <c r="F304" s="66" t="s">
        <v>135</v>
      </c>
      <c r="G304" s="66" t="s">
        <v>135</v>
      </c>
      <c r="H304" s="66" t="s">
        <v>135</v>
      </c>
      <c r="I304" s="66" t="s">
        <v>8</v>
      </c>
      <c r="J304" s="67" t="s">
        <v>135</v>
      </c>
      <c r="K304" s="214"/>
      <c r="L304" s="68">
        <f t="shared" ref="L304:AB308" si="149">L305</f>
        <v>180000</v>
      </c>
      <c r="M304" s="69">
        <f t="shared" si="149"/>
        <v>0</v>
      </c>
      <c r="N304" s="216">
        <f t="shared" si="149"/>
        <v>0</v>
      </c>
      <c r="O304" s="216">
        <f t="shared" si="149"/>
        <v>0</v>
      </c>
      <c r="P304" s="216">
        <f t="shared" si="149"/>
        <v>0</v>
      </c>
      <c r="Q304" s="68">
        <f t="shared" si="149"/>
        <v>360000</v>
      </c>
      <c r="R304" s="215">
        <f t="shared" si="149"/>
        <v>0</v>
      </c>
      <c r="S304" s="216">
        <f t="shared" si="149"/>
        <v>118800</v>
      </c>
      <c r="T304" s="216">
        <f t="shared" si="149"/>
        <v>118800</v>
      </c>
      <c r="U304" s="217">
        <f t="shared" si="149"/>
        <v>360000</v>
      </c>
      <c r="V304" s="216">
        <f t="shared" si="149"/>
        <v>360000</v>
      </c>
      <c r="W304" s="215">
        <f t="shared" si="149"/>
        <v>0</v>
      </c>
      <c r="X304" s="215">
        <f t="shared" si="149"/>
        <v>0</v>
      </c>
      <c r="Y304" s="216">
        <f t="shared" si="149"/>
        <v>360000</v>
      </c>
      <c r="Z304" s="217">
        <f t="shared" si="149"/>
        <v>360000</v>
      </c>
      <c r="AA304" s="216">
        <f t="shared" si="149"/>
        <v>0</v>
      </c>
      <c r="AB304" s="217">
        <f t="shared" si="149"/>
        <v>360000</v>
      </c>
    </row>
    <row r="305" spans="1:28" ht="25.5" x14ac:dyDescent="0.2">
      <c r="A305" s="212" t="s">
        <v>52</v>
      </c>
      <c r="B305" s="59" t="s">
        <v>109</v>
      </c>
      <c r="C305" s="58" t="s">
        <v>69</v>
      </c>
      <c r="D305" s="59" t="s">
        <v>120</v>
      </c>
      <c r="E305" s="66" t="s">
        <v>7</v>
      </c>
      <c r="F305" s="66" t="s">
        <v>135</v>
      </c>
      <c r="G305" s="66" t="s">
        <v>135</v>
      </c>
      <c r="H305" s="66" t="s">
        <v>135</v>
      </c>
      <c r="I305" s="66" t="s">
        <v>8</v>
      </c>
      <c r="J305" s="67" t="s">
        <v>135</v>
      </c>
      <c r="K305" s="214">
        <v>200</v>
      </c>
      <c r="L305" s="68">
        <f t="shared" si="149"/>
        <v>180000</v>
      </c>
      <c r="M305" s="69">
        <f t="shared" si="149"/>
        <v>0</v>
      </c>
      <c r="N305" s="216">
        <f t="shared" si="149"/>
        <v>0</v>
      </c>
      <c r="O305" s="216">
        <f t="shared" si="149"/>
        <v>0</v>
      </c>
      <c r="P305" s="216">
        <f t="shared" si="149"/>
        <v>0</v>
      </c>
      <c r="Q305" s="68">
        <f t="shared" si="149"/>
        <v>360000</v>
      </c>
      <c r="R305" s="215">
        <f t="shared" si="149"/>
        <v>0</v>
      </c>
      <c r="S305" s="216">
        <f t="shared" si="149"/>
        <v>118800</v>
      </c>
      <c r="T305" s="216">
        <f t="shared" si="149"/>
        <v>118800</v>
      </c>
      <c r="U305" s="217">
        <f t="shared" si="149"/>
        <v>360000</v>
      </c>
      <c r="V305" s="216">
        <f t="shared" si="149"/>
        <v>360000</v>
      </c>
      <c r="W305" s="215">
        <f t="shared" si="149"/>
        <v>0</v>
      </c>
      <c r="X305" s="215">
        <f t="shared" si="149"/>
        <v>0</v>
      </c>
      <c r="Y305" s="216">
        <f t="shared" si="149"/>
        <v>360000</v>
      </c>
      <c r="Z305" s="217">
        <f t="shared" si="149"/>
        <v>360000</v>
      </c>
      <c r="AA305" s="217">
        <f t="shared" si="149"/>
        <v>0</v>
      </c>
      <c r="AB305" s="216">
        <f t="shared" si="149"/>
        <v>360000</v>
      </c>
    </row>
    <row r="306" spans="1:28" ht="25.5" x14ac:dyDescent="0.2">
      <c r="A306" s="212" t="s">
        <v>54</v>
      </c>
      <c r="B306" s="58" t="s">
        <v>109</v>
      </c>
      <c r="C306" s="58" t="s">
        <v>69</v>
      </c>
      <c r="D306" s="59" t="s">
        <v>120</v>
      </c>
      <c r="E306" s="66" t="s">
        <v>7</v>
      </c>
      <c r="F306" s="66" t="s">
        <v>135</v>
      </c>
      <c r="G306" s="66" t="s">
        <v>135</v>
      </c>
      <c r="H306" s="66" t="s">
        <v>135</v>
      </c>
      <c r="I306" s="66" t="s">
        <v>8</v>
      </c>
      <c r="J306" s="67" t="s">
        <v>135</v>
      </c>
      <c r="K306" s="214">
        <v>240</v>
      </c>
      <c r="L306" s="68">
        <v>180000</v>
      </c>
      <c r="M306" s="69">
        <v>0</v>
      </c>
      <c r="N306" s="216">
        <v>0</v>
      </c>
      <c r="O306" s="216">
        <v>0</v>
      </c>
      <c r="P306" s="216">
        <v>0</v>
      </c>
      <c r="Q306" s="68">
        <v>360000</v>
      </c>
      <c r="R306" s="216">
        <v>0</v>
      </c>
      <c r="S306" s="216">
        <v>118800</v>
      </c>
      <c r="T306" s="216">
        <f>S306</f>
        <v>118800</v>
      </c>
      <c r="U306" s="217">
        <v>360000</v>
      </c>
      <c r="V306" s="216">
        <v>360000</v>
      </c>
      <c r="W306" s="215">
        <v>0</v>
      </c>
      <c r="X306" s="215">
        <v>0</v>
      </c>
      <c r="Y306" s="216">
        <v>360000</v>
      </c>
      <c r="Z306" s="217">
        <v>360000</v>
      </c>
      <c r="AA306" s="216">
        <v>0</v>
      </c>
      <c r="AB306" s="216">
        <v>360000</v>
      </c>
    </row>
    <row r="307" spans="1:28" ht="25.5" x14ac:dyDescent="0.2">
      <c r="A307" s="207" t="s">
        <v>204</v>
      </c>
      <c r="B307" s="58" t="s">
        <v>109</v>
      </c>
      <c r="C307" s="58" t="s">
        <v>69</v>
      </c>
      <c r="D307" s="59" t="s">
        <v>120</v>
      </c>
      <c r="E307" s="66" t="s">
        <v>7</v>
      </c>
      <c r="F307" s="66" t="s">
        <v>135</v>
      </c>
      <c r="G307" s="66" t="s">
        <v>135</v>
      </c>
      <c r="H307" s="66" t="s">
        <v>135</v>
      </c>
      <c r="I307" s="66" t="s">
        <v>203</v>
      </c>
      <c r="J307" s="67" t="s">
        <v>135</v>
      </c>
      <c r="K307" s="309"/>
      <c r="L307" s="68">
        <f t="shared" si="149"/>
        <v>180000</v>
      </c>
      <c r="M307" s="69">
        <f t="shared" si="149"/>
        <v>0</v>
      </c>
      <c r="N307" s="216">
        <f t="shared" si="149"/>
        <v>0</v>
      </c>
      <c r="O307" s="216">
        <f t="shared" si="149"/>
        <v>0</v>
      </c>
      <c r="P307" s="216">
        <f>P308+P310</f>
        <v>193972.75999999998</v>
      </c>
      <c r="Q307" s="216">
        <f t="shared" ref="Q307:AB307" si="150">Q308+Q310</f>
        <v>0</v>
      </c>
      <c r="R307" s="216">
        <f t="shared" si="150"/>
        <v>0</v>
      </c>
      <c r="S307" s="216">
        <f t="shared" si="150"/>
        <v>22013.040000000005</v>
      </c>
      <c r="T307" s="216">
        <f t="shared" si="150"/>
        <v>215985.8</v>
      </c>
      <c r="U307" s="217">
        <f t="shared" si="150"/>
        <v>0</v>
      </c>
      <c r="V307" s="216">
        <f t="shared" si="150"/>
        <v>0</v>
      </c>
      <c r="W307" s="216">
        <f t="shared" si="150"/>
        <v>0</v>
      </c>
      <c r="X307" s="215">
        <f t="shared" si="150"/>
        <v>0</v>
      </c>
      <c r="Y307" s="216">
        <f t="shared" si="150"/>
        <v>0</v>
      </c>
      <c r="Z307" s="217">
        <f t="shared" si="150"/>
        <v>0</v>
      </c>
      <c r="AA307" s="216">
        <f t="shared" si="150"/>
        <v>0</v>
      </c>
      <c r="AB307" s="216">
        <f t="shared" si="150"/>
        <v>0</v>
      </c>
    </row>
    <row r="308" spans="1:28" ht="25.5" x14ac:dyDescent="0.2">
      <c r="A308" s="212" t="s">
        <v>52</v>
      </c>
      <c r="B308" s="58" t="s">
        <v>109</v>
      </c>
      <c r="C308" s="58" t="s">
        <v>69</v>
      </c>
      <c r="D308" s="59" t="s">
        <v>120</v>
      </c>
      <c r="E308" s="66" t="s">
        <v>7</v>
      </c>
      <c r="F308" s="66" t="s">
        <v>135</v>
      </c>
      <c r="G308" s="66" t="s">
        <v>135</v>
      </c>
      <c r="H308" s="66" t="s">
        <v>135</v>
      </c>
      <c r="I308" s="66" t="s">
        <v>203</v>
      </c>
      <c r="J308" s="67" t="s">
        <v>135</v>
      </c>
      <c r="K308" s="309">
        <v>200</v>
      </c>
      <c r="L308" s="68">
        <f t="shared" si="149"/>
        <v>180000</v>
      </c>
      <c r="M308" s="69">
        <f t="shared" si="149"/>
        <v>0</v>
      </c>
      <c r="N308" s="216">
        <f t="shared" si="149"/>
        <v>0</v>
      </c>
      <c r="O308" s="216">
        <f t="shared" si="149"/>
        <v>0</v>
      </c>
      <c r="P308" s="216">
        <f t="shared" si="149"/>
        <v>11609.46</v>
      </c>
      <c r="Q308" s="216">
        <f t="shared" si="149"/>
        <v>0</v>
      </c>
      <c r="R308" s="216">
        <f t="shared" si="149"/>
        <v>0</v>
      </c>
      <c r="S308" s="216">
        <f t="shared" si="149"/>
        <v>782.74</v>
      </c>
      <c r="T308" s="216">
        <f t="shared" si="149"/>
        <v>12392.199999999999</v>
      </c>
      <c r="U308" s="217">
        <f t="shared" si="149"/>
        <v>0</v>
      </c>
      <c r="V308" s="216">
        <f t="shared" si="149"/>
        <v>0</v>
      </c>
      <c r="W308" s="216">
        <f t="shared" si="149"/>
        <v>0</v>
      </c>
      <c r="X308" s="215">
        <f t="shared" si="149"/>
        <v>0</v>
      </c>
      <c r="Y308" s="216">
        <f t="shared" si="149"/>
        <v>0</v>
      </c>
      <c r="Z308" s="217">
        <f t="shared" si="149"/>
        <v>0</v>
      </c>
      <c r="AA308" s="216">
        <f t="shared" si="149"/>
        <v>0</v>
      </c>
      <c r="AB308" s="216">
        <f t="shared" si="149"/>
        <v>0</v>
      </c>
    </row>
    <row r="309" spans="1:28" ht="25.5" x14ac:dyDescent="0.2">
      <c r="A309" s="212" t="s">
        <v>54</v>
      </c>
      <c r="B309" s="58" t="s">
        <v>109</v>
      </c>
      <c r="C309" s="58" t="s">
        <v>69</v>
      </c>
      <c r="D309" s="59" t="s">
        <v>120</v>
      </c>
      <c r="E309" s="66" t="s">
        <v>7</v>
      </c>
      <c r="F309" s="66" t="s">
        <v>135</v>
      </c>
      <c r="G309" s="66" t="s">
        <v>135</v>
      </c>
      <c r="H309" s="66" t="s">
        <v>135</v>
      </c>
      <c r="I309" s="66" t="s">
        <v>203</v>
      </c>
      <c r="J309" s="67" t="s">
        <v>135</v>
      </c>
      <c r="K309" s="309">
        <v>240</v>
      </c>
      <c r="L309" s="68">
        <v>180000</v>
      </c>
      <c r="M309" s="69">
        <v>0</v>
      </c>
      <c r="N309" s="216">
        <v>0</v>
      </c>
      <c r="O309" s="216">
        <v>0</v>
      </c>
      <c r="P309" s="216">
        <v>11609.46</v>
      </c>
      <c r="Q309" s="216">
        <v>0</v>
      </c>
      <c r="R309" s="216">
        <v>0</v>
      </c>
      <c r="S309" s="216">
        <v>782.74</v>
      </c>
      <c r="T309" s="216">
        <f>S309+P309</f>
        <v>12392.199999999999</v>
      </c>
      <c r="U309" s="217">
        <v>0</v>
      </c>
      <c r="V309" s="216">
        <v>0</v>
      </c>
      <c r="W309" s="216">
        <v>0</v>
      </c>
      <c r="X309" s="215">
        <v>0</v>
      </c>
      <c r="Y309" s="216">
        <v>0</v>
      </c>
      <c r="Z309" s="217">
        <v>0</v>
      </c>
      <c r="AA309" s="216">
        <v>0</v>
      </c>
      <c r="AB309" s="216">
        <v>0</v>
      </c>
    </row>
    <row r="310" spans="1:28" x14ac:dyDescent="0.2">
      <c r="A310" s="212" t="s">
        <v>62</v>
      </c>
      <c r="B310" s="58" t="s">
        <v>109</v>
      </c>
      <c r="C310" s="58" t="s">
        <v>69</v>
      </c>
      <c r="D310" s="59" t="s">
        <v>120</v>
      </c>
      <c r="E310" s="66" t="s">
        <v>7</v>
      </c>
      <c r="F310" s="66" t="s">
        <v>135</v>
      </c>
      <c r="G310" s="66" t="s">
        <v>135</v>
      </c>
      <c r="H310" s="66" t="s">
        <v>135</v>
      </c>
      <c r="I310" s="66" t="s">
        <v>203</v>
      </c>
      <c r="J310" s="67" t="s">
        <v>135</v>
      </c>
      <c r="K310" s="309" t="s">
        <v>63</v>
      </c>
      <c r="L310" s="68"/>
      <c r="M310" s="69"/>
      <c r="N310" s="216"/>
      <c r="O310" s="216"/>
      <c r="P310" s="216">
        <f>P311</f>
        <v>182363.3</v>
      </c>
      <c r="Q310" s="216">
        <f t="shared" ref="Q310:AB310" si="151">Q311</f>
        <v>0</v>
      </c>
      <c r="R310" s="216">
        <f t="shared" si="151"/>
        <v>0</v>
      </c>
      <c r="S310" s="216">
        <f t="shared" si="151"/>
        <v>21230.300000000003</v>
      </c>
      <c r="T310" s="216">
        <f t="shared" si="151"/>
        <v>203593.59999999998</v>
      </c>
      <c r="U310" s="217">
        <f t="shared" si="151"/>
        <v>0</v>
      </c>
      <c r="V310" s="216">
        <f t="shared" si="151"/>
        <v>0</v>
      </c>
      <c r="W310" s="216">
        <f t="shared" si="151"/>
        <v>0</v>
      </c>
      <c r="X310" s="215">
        <f t="shared" si="151"/>
        <v>0</v>
      </c>
      <c r="Y310" s="216">
        <f t="shared" si="151"/>
        <v>0</v>
      </c>
      <c r="Z310" s="217">
        <f t="shared" si="151"/>
        <v>0</v>
      </c>
      <c r="AA310" s="216">
        <f t="shared" si="151"/>
        <v>0</v>
      </c>
      <c r="AB310" s="216">
        <f t="shared" si="151"/>
        <v>0</v>
      </c>
    </row>
    <row r="311" spans="1:28" x14ac:dyDescent="0.2">
      <c r="A311" s="212" t="s">
        <v>174</v>
      </c>
      <c r="B311" s="58" t="s">
        <v>109</v>
      </c>
      <c r="C311" s="58" t="s">
        <v>69</v>
      </c>
      <c r="D311" s="59" t="s">
        <v>120</v>
      </c>
      <c r="E311" s="66" t="s">
        <v>7</v>
      </c>
      <c r="F311" s="66" t="s">
        <v>135</v>
      </c>
      <c r="G311" s="66" t="s">
        <v>135</v>
      </c>
      <c r="H311" s="66" t="s">
        <v>135</v>
      </c>
      <c r="I311" s="66" t="s">
        <v>203</v>
      </c>
      <c r="J311" s="67" t="s">
        <v>135</v>
      </c>
      <c r="K311" s="309" t="s">
        <v>173</v>
      </c>
      <c r="L311" s="68"/>
      <c r="M311" s="69"/>
      <c r="N311" s="216"/>
      <c r="O311" s="216"/>
      <c r="P311" s="216">
        <v>182363.3</v>
      </c>
      <c r="Q311" s="216">
        <v>0</v>
      </c>
      <c r="R311" s="216">
        <v>0</v>
      </c>
      <c r="S311" s="216">
        <f>7842.18+13388.12</f>
        <v>21230.300000000003</v>
      </c>
      <c r="T311" s="216">
        <f>S311+P311</f>
        <v>203593.59999999998</v>
      </c>
      <c r="U311" s="217">
        <v>0</v>
      </c>
      <c r="V311" s="216">
        <v>0</v>
      </c>
      <c r="W311" s="216">
        <v>0</v>
      </c>
      <c r="X311" s="215">
        <v>0</v>
      </c>
      <c r="Y311" s="216">
        <v>0</v>
      </c>
      <c r="Z311" s="217">
        <v>0</v>
      </c>
      <c r="AA311" s="216">
        <v>0</v>
      </c>
      <c r="AB311" s="216">
        <v>0</v>
      </c>
    </row>
    <row r="312" spans="1:28" ht="25.5" x14ac:dyDescent="0.2">
      <c r="A312" s="207" t="s">
        <v>437</v>
      </c>
      <c r="B312" s="58" t="s">
        <v>109</v>
      </c>
      <c r="C312" s="58" t="s">
        <v>69</v>
      </c>
      <c r="D312" s="59" t="s">
        <v>120</v>
      </c>
      <c r="E312" s="66" t="s">
        <v>7</v>
      </c>
      <c r="F312" s="66" t="s">
        <v>135</v>
      </c>
      <c r="G312" s="66" t="s">
        <v>135</v>
      </c>
      <c r="H312" s="66" t="s">
        <v>135</v>
      </c>
      <c r="I312" s="66" t="s">
        <v>427</v>
      </c>
      <c r="J312" s="67" t="s">
        <v>135</v>
      </c>
      <c r="K312" s="309"/>
      <c r="L312" s="68"/>
      <c r="M312" s="69"/>
      <c r="N312" s="216"/>
      <c r="O312" s="216"/>
      <c r="P312" s="216">
        <f>P315+P313+P317</f>
        <v>581100.64</v>
      </c>
      <c r="Q312" s="216">
        <f t="shared" ref="Q312:T312" si="152">Q315+Q313+Q317</f>
        <v>0</v>
      </c>
      <c r="R312" s="216">
        <f t="shared" si="152"/>
        <v>0</v>
      </c>
      <c r="S312" s="216">
        <f t="shared" si="152"/>
        <v>-14170.859999999988</v>
      </c>
      <c r="T312" s="216">
        <f t="shared" si="152"/>
        <v>566929.77999999991</v>
      </c>
      <c r="U312" s="217">
        <v>0</v>
      </c>
      <c r="V312" s="216">
        <f t="shared" ref="V312" si="153">V315+V319</f>
        <v>1595534.05</v>
      </c>
      <c r="W312" s="216">
        <f t="shared" ref="W312" si="154">W315+W319</f>
        <v>457417.43</v>
      </c>
      <c r="X312" s="215">
        <v>0</v>
      </c>
      <c r="Y312" s="216">
        <v>0</v>
      </c>
      <c r="Z312" s="217">
        <v>0</v>
      </c>
      <c r="AA312" s="216">
        <v>0</v>
      </c>
      <c r="AB312" s="216">
        <v>0</v>
      </c>
    </row>
    <row r="313" spans="1:28" ht="51" x14ac:dyDescent="0.2">
      <c r="A313" s="212" t="s">
        <v>67</v>
      </c>
      <c r="B313" s="58" t="s">
        <v>109</v>
      </c>
      <c r="C313" s="58" t="s">
        <v>69</v>
      </c>
      <c r="D313" s="59" t="s">
        <v>120</v>
      </c>
      <c r="E313" s="66" t="s">
        <v>7</v>
      </c>
      <c r="F313" s="66" t="s">
        <v>135</v>
      </c>
      <c r="G313" s="66" t="s">
        <v>135</v>
      </c>
      <c r="H313" s="66" t="s">
        <v>135</v>
      </c>
      <c r="I313" s="66" t="s">
        <v>427</v>
      </c>
      <c r="J313" s="67" t="s">
        <v>135</v>
      </c>
      <c r="K313" s="309" t="s">
        <v>60</v>
      </c>
      <c r="L313" s="68"/>
      <c r="M313" s="69"/>
      <c r="N313" s="216"/>
      <c r="O313" s="216"/>
      <c r="P313" s="216">
        <f>P314</f>
        <v>0</v>
      </c>
      <c r="Q313" s="216"/>
      <c r="R313" s="216"/>
      <c r="S313" s="216">
        <f>S314</f>
        <v>116993.71</v>
      </c>
      <c r="T313" s="216">
        <f>T314</f>
        <v>116993.71</v>
      </c>
      <c r="U313" s="217">
        <f>U314</f>
        <v>0</v>
      </c>
      <c r="V313" s="216"/>
      <c r="W313" s="216"/>
      <c r="X313" s="215">
        <f t="shared" ref="X313:AB313" si="155">X314</f>
        <v>0</v>
      </c>
      <c r="Y313" s="216">
        <f t="shared" si="155"/>
        <v>0</v>
      </c>
      <c r="Z313" s="217">
        <f t="shared" si="155"/>
        <v>0</v>
      </c>
      <c r="AA313" s="216">
        <f t="shared" si="155"/>
        <v>0</v>
      </c>
      <c r="AB313" s="216">
        <f t="shared" si="155"/>
        <v>0</v>
      </c>
    </row>
    <row r="314" spans="1:28" ht="25.5" x14ac:dyDescent="0.2">
      <c r="A314" s="212" t="s">
        <v>61</v>
      </c>
      <c r="B314" s="58" t="s">
        <v>109</v>
      </c>
      <c r="C314" s="58" t="s">
        <v>69</v>
      </c>
      <c r="D314" s="59" t="s">
        <v>120</v>
      </c>
      <c r="E314" s="66" t="s">
        <v>7</v>
      </c>
      <c r="F314" s="66" t="s">
        <v>135</v>
      </c>
      <c r="G314" s="66" t="s">
        <v>135</v>
      </c>
      <c r="H314" s="66" t="s">
        <v>135</v>
      </c>
      <c r="I314" s="66" t="s">
        <v>427</v>
      </c>
      <c r="J314" s="67" t="s">
        <v>135</v>
      </c>
      <c r="K314" s="309" t="s">
        <v>171</v>
      </c>
      <c r="L314" s="68"/>
      <c r="M314" s="69"/>
      <c r="N314" s="216"/>
      <c r="O314" s="216"/>
      <c r="P314" s="216">
        <v>0</v>
      </c>
      <c r="Q314" s="216"/>
      <c r="R314" s="216"/>
      <c r="S314" s="216">
        <v>116993.71</v>
      </c>
      <c r="T314" s="216">
        <f>S314</f>
        <v>116993.71</v>
      </c>
      <c r="U314" s="217">
        <v>0</v>
      </c>
      <c r="V314" s="216"/>
      <c r="W314" s="216"/>
      <c r="X314" s="215">
        <v>0</v>
      </c>
      <c r="Y314" s="216">
        <v>0</v>
      </c>
      <c r="Z314" s="217">
        <v>0</v>
      </c>
      <c r="AA314" s="216">
        <v>0</v>
      </c>
      <c r="AB314" s="216">
        <v>0</v>
      </c>
    </row>
    <row r="315" spans="1:28" ht="25.5" x14ac:dyDescent="0.2">
      <c r="A315" s="212" t="s">
        <v>52</v>
      </c>
      <c r="B315" s="58" t="s">
        <v>109</v>
      </c>
      <c r="C315" s="58" t="s">
        <v>69</v>
      </c>
      <c r="D315" s="59" t="s">
        <v>120</v>
      </c>
      <c r="E315" s="66" t="s">
        <v>7</v>
      </c>
      <c r="F315" s="66" t="s">
        <v>135</v>
      </c>
      <c r="G315" s="66" t="s">
        <v>135</v>
      </c>
      <c r="H315" s="66" t="s">
        <v>135</v>
      </c>
      <c r="I315" s="66" t="s">
        <v>427</v>
      </c>
      <c r="J315" s="67" t="s">
        <v>135</v>
      </c>
      <c r="K315" s="309">
        <v>200</v>
      </c>
      <c r="L315" s="68"/>
      <c r="M315" s="69"/>
      <c r="N315" s="216"/>
      <c r="O315" s="216"/>
      <c r="P315" s="216">
        <f t="shared" ref="P315:AB315" si="156">P316</f>
        <v>581100.64</v>
      </c>
      <c r="Q315" s="216">
        <f t="shared" si="156"/>
        <v>0</v>
      </c>
      <c r="R315" s="216">
        <f t="shared" si="156"/>
        <v>0</v>
      </c>
      <c r="S315" s="216">
        <f t="shared" si="156"/>
        <v>-138374.15</v>
      </c>
      <c r="T315" s="216">
        <f t="shared" si="156"/>
        <v>442726.49</v>
      </c>
      <c r="U315" s="217">
        <f t="shared" si="156"/>
        <v>0</v>
      </c>
      <c r="V315" s="216">
        <f t="shared" si="156"/>
        <v>0</v>
      </c>
      <c r="W315" s="216">
        <f t="shared" si="156"/>
        <v>0</v>
      </c>
      <c r="X315" s="215">
        <f t="shared" si="156"/>
        <v>0</v>
      </c>
      <c r="Y315" s="216">
        <f t="shared" si="156"/>
        <v>0</v>
      </c>
      <c r="Z315" s="217">
        <f t="shared" si="156"/>
        <v>0</v>
      </c>
      <c r="AA315" s="216">
        <f t="shared" si="156"/>
        <v>0</v>
      </c>
      <c r="AB315" s="216">
        <f t="shared" si="156"/>
        <v>0</v>
      </c>
    </row>
    <row r="316" spans="1:28" ht="25.5" x14ac:dyDescent="0.2">
      <c r="A316" s="212" t="s">
        <v>54</v>
      </c>
      <c r="B316" s="58" t="s">
        <v>109</v>
      </c>
      <c r="C316" s="58" t="s">
        <v>69</v>
      </c>
      <c r="D316" s="59" t="s">
        <v>120</v>
      </c>
      <c r="E316" s="66" t="s">
        <v>7</v>
      </c>
      <c r="F316" s="66" t="s">
        <v>135</v>
      </c>
      <c r="G316" s="66" t="s">
        <v>135</v>
      </c>
      <c r="H316" s="66" t="s">
        <v>135</v>
      </c>
      <c r="I316" s="66" t="s">
        <v>427</v>
      </c>
      <c r="J316" s="67" t="s">
        <v>135</v>
      </c>
      <c r="K316" s="309">
        <v>240</v>
      </c>
      <c r="L316" s="68"/>
      <c r="M316" s="69"/>
      <c r="N316" s="216"/>
      <c r="O316" s="216"/>
      <c r="P316" s="216">
        <v>581100.64</v>
      </c>
      <c r="Q316" s="216">
        <v>0</v>
      </c>
      <c r="R316" s="216">
        <v>0</v>
      </c>
      <c r="S316" s="216">
        <f>-123752.01-451.28-14170.86</f>
        <v>-138374.15</v>
      </c>
      <c r="T316" s="216">
        <f>S316+P316</f>
        <v>442726.49</v>
      </c>
      <c r="U316" s="217">
        <v>0</v>
      </c>
      <c r="V316" s="216">
        <v>0</v>
      </c>
      <c r="W316" s="216">
        <v>0</v>
      </c>
      <c r="X316" s="215">
        <v>0</v>
      </c>
      <c r="Y316" s="216">
        <v>0</v>
      </c>
      <c r="Z316" s="217">
        <v>0</v>
      </c>
      <c r="AA316" s="216">
        <v>0</v>
      </c>
      <c r="AB316" s="216">
        <v>0</v>
      </c>
    </row>
    <row r="317" spans="1:28" x14ac:dyDescent="0.2">
      <c r="A317" s="212" t="s">
        <v>62</v>
      </c>
      <c r="B317" s="58" t="s">
        <v>109</v>
      </c>
      <c r="C317" s="58" t="s">
        <v>69</v>
      </c>
      <c r="D317" s="59" t="s">
        <v>120</v>
      </c>
      <c r="E317" s="66" t="s">
        <v>7</v>
      </c>
      <c r="F317" s="66" t="s">
        <v>135</v>
      </c>
      <c r="G317" s="66" t="s">
        <v>135</v>
      </c>
      <c r="H317" s="66" t="s">
        <v>135</v>
      </c>
      <c r="I317" s="66" t="s">
        <v>427</v>
      </c>
      <c r="J317" s="67" t="s">
        <v>135</v>
      </c>
      <c r="K317" s="309" t="s">
        <v>63</v>
      </c>
      <c r="L317" s="68"/>
      <c r="M317" s="69"/>
      <c r="N317" s="216"/>
      <c r="O317" s="216"/>
      <c r="P317" s="216">
        <f>P318</f>
        <v>0</v>
      </c>
      <c r="Q317" s="68"/>
      <c r="R317" s="216"/>
      <c r="S317" s="216">
        <f>S318</f>
        <v>7209.58</v>
      </c>
      <c r="T317" s="216">
        <f>T318</f>
        <v>7209.58</v>
      </c>
      <c r="U317" s="68">
        <f>U318</f>
        <v>0</v>
      </c>
      <c r="V317" s="216"/>
      <c r="W317" s="215"/>
      <c r="X317" s="68">
        <f t="shared" ref="X317:AB317" si="157">X318</f>
        <v>0</v>
      </c>
      <c r="Y317" s="216">
        <f t="shared" si="157"/>
        <v>0</v>
      </c>
      <c r="Z317" s="68">
        <f t="shared" si="157"/>
        <v>0</v>
      </c>
      <c r="AA317" s="68">
        <f t="shared" si="157"/>
        <v>0</v>
      </c>
      <c r="AB317" s="217">
        <f t="shared" si="157"/>
        <v>0</v>
      </c>
    </row>
    <row r="318" spans="1:28" x14ac:dyDescent="0.2">
      <c r="A318" s="212" t="s">
        <v>64</v>
      </c>
      <c r="B318" s="58" t="s">
        <v>109</v>
      </c>
      <c r="C318" s="58" t="s">
        <v>69</v>
      </c>
      <c r="D318" s="59" t="s">
        <v>120</v>
      </c>
      <c r="E318" s="66" t="s">
        <v>7</v>
      </c>
      <c r="F318" s="66" t="s">
        <v>135</v>
      </c>
      <c r="G318" s="66" t="s">
        <v>135</v>
      </c>
      <c r="H318" s="66" t="s">
        <v>135</v>
      </c>
      <c r="I318" s="66" t="s">
        <v>427</v>
      </c>
      <c r="J318" s="67" t="s">
        <v>135</v>
      </c>
      <c r="K318" s="309" t="s">
        <v>65</v>
      </c>
      <c r="L318" s="68"/>
      <c r="M318" s="69"/>
      <c r="N318" s="216"/>
      <c r="O318" s="216"/>
      <c r="P318" s="216">
        <v>0</v>
      </c>
      <c r="Q318" s="68"/>
      <c r="R318" s="216"/>
      <c r="S318" s="216">
        <f>6758.3+451.28</f>
        <v>7209.58</v>
      </c>
      <c r="T318" s="216">
        <f>S318</f>
        <v>7209.58</v>
      </c>
      <c r="U318" s="68">
        <v>0</v>
      </c>
      <c r="V318" s="216"/>
      <c r="W318" s="215"/>
      <c r="X318" s="68">
        <v>0</v>
      </c>
      <c r="Y318" s="216">
        <v>0</v>
      </c>
      <c r="Z318" s="68">
        <v>0</v>
      </c>
      <c r="AA318" s="68">
        <v>0</v>
      </c>
      <c r="AB318" s="217">
        <v>0</v>
      </c>
    </row>
    <row r="319" spans="1:28" ht="17.25" customHeight="1" x14ac:dyDescent="0.2">
      <c r="A319" s="207" t="s">
        <v>284</v>
      </c>
      <c r="B319" s="58" t="s">
        <v>109</v>
      </c>
      <c r="C319" s="58" t="s">
        <v>76</v>
      </c>
      <c r="D319" s="59"/>
      <c r="E319" s="60"/>
      <c r="F319" s="60"/>
      <c r="G319" s="66"/>
      <c r="H319" s="66"/>
      <c r="I319" s="60"/>
      <c r="J319" s="76"/>
      <c r="K319" s="408"/>
      <c r="L319" s="101">
        <f t="shared" ref="L319:AB320" si="158">L320</f>
        <v>2830921.54</v>
      </c>
      <c r="M319" s="102">
        <f t="shared" si="158"/>
        <v>0</v>
      </c>
      <c r="N319" s="248">
        <f t="shared" si="158"/>
        <v>1474366.07</v>
      </c>
      <c r="O319" s="248">
        <f t="shared" si="158"/>
        <v>327049.62000000005</v>
      </c>
      <c r="P319" s="248">
        <f t="shared" si="158"/>
        <v>1801415.6900000002</v>
      </c>
      <c r="Q319" s="101">
        <f t="shared" si="158"/>
        <v>1530881.16</v>
      </c>
      <c r="R319" s="248">
        <f t="shared" si="158"/>
        <v>359477.17</v>
      </c>
      <c r="S319" s="248">
        <f t="shared" si="158"/>
        <v>0</v>
      </c>
      <c r="T319" s="248">
        <f t="shared" si="158"/>
        <v>1801415.6900000002</v>
      </c>
      <c r="U319" s="101">
        <f t="shared" si="158"/>
        <v>1890358.33</v>
      </c>
      <c r="V319" s="248">
        <f t="shared" si="158"/>
        <v>1595534.05</v>
      </c>
      <c r="W319" s="473">
        <f t="shared" si="158"/>
        <v>457417.43</v>
      </c>
      <c r="X319" s="473">
        <f t="shared" si="158"/>
        <v>0</v>
      </c>
      <c r="Y319" s="248">
        <f t="shared" si="158"/>
        <v>1890358.33</v>
      </c>
      <c r="Z319" s="249">
        <f t="shared" si="158"/>
        <v>2052951.48</v>
      </c>
      <c r="AA319" s="248">
        <f t="shared" si="158"/>
        <v>0</v>
      </c>
      <c r="AB319" s="248">
        <f t="shared" si="158"/>
        <v>2052951.48</v>
      </c>
    </row>
    <row r="320" spans="1:28" ht="27" customHeight="1" x14ac:dyDescent="0.2">
      <c r="A320" s="258" t="s">
        <v>285</v>
      </c>
      <c r="B320" s="58" t="s">
        <v>109</v>
      </c>
      <c r="C320" s="58" t="s">
        <v>76</v>
      </c>
      <c r="D320" s="59" t="s">
        <v>72</v>
      </c>
      <c r="E320" s="60"/>
      <c r="F320" s="60"/>
      <c r="G320" s="66"/>
      <c r="H320" s="66"/>
      <c r="I320" s="60"/>
      <c r="J320" s="76"/>
      <c r="K320" s="408"/>
      <c r="L320" s="101">
        <f t="shared" si="158"/>
        <v>2830921.54</v>
      </c>
      <c r="M320" s="102">
        <f t="shared" si="158"/>
        <v>0</v>
      </c>
      <c r="N320" s="248">
        <f t="shared" si="158"/>
        <v>1474366.07</v>
      </c>
      <c r="O320" s="248">
        <f t="shared" si="158"/>
        <v>327049.62000000005</v>
      </c>
      <c r="P320" s="248">
        <f t="shared" si="158"/>
        <v>1801415.6900000002</v>
      </c>
      <c r="Q320" s="101">
        <f t="shared" si="158"/>
        <v>1530881.16</v>
      </c>
      <c r="R320" s="248">
        <f t="shared" si="158"/>
        <v>359477.17</v>
      </c>
      <c r="S320" s="248">
        <f t="shared" si="158"/>
        <v>0</v>
      </c>
      <c r="T320" s="248">
        <f t="shared" si="158"/>
        <v>1801415.6900000002</v>
      </c>
      <c r="U320" s="101">
        <f t="shared" si="158"/>
        <v>1890358.33</v>
      </c>
      <c r="V320" s="248">
        <f t="shared" si="158"/>
        <v>1595534.05</v>
      </c>
      <c r="W320" s="473">
        <f t="shared" si="158"/>
        <v>457417.43</v>
      </c>
      <c r="X320" s="473">
        <f t="shared" si="158"/>
        <v>0</v>
      </c>
      <c r="Y320" s="248">
        <f t="shared" si="158"/>
        <v>1890358.33</v>
      </c>
      <c r="Z320" s="249">
        <f t="shared" si="158"/>
        <v>2052951.48</v>
      </c>
      <c r="AA320" s="248">
        <f t="shared" si="158"/>
        <v>0</v>
      </c>
      <c r="AB320" s="248">
        <f t="shared" si="158"/>
        <v>2052951.48</v>
      </c>
    </row>
    <row r="321" spans="1:28" ht="27" customHeight="1" x14ac:dyDescent="0.2">
      <c r="A321" s="212" t="s">
        <v>395</v>
      </c>
      <c r="B321" s="58" t="s">
        <v>109</v>
      </c>
      <c r="C321" s="58" t="s">
        <v>76</v>
      </c>
      <c r="D321" s="59" t="s">
        <v>72</v>
      </c>
      <c r="E321" s="66" t="s">
        <v>314</v>
      </c>
      <c r="F321" s="66" t="s">
        <v>135</v>
      </c>
      <c r="G321" s="66" t="s">
        <v>135</v>
      </c>
      <c r="H321" s="66" t="s">
        <v>135</v>
      </c>
      <c r="I321" s="66" t="s">
        <v>136</v>
      </c>
      <c r="J321" s="67" t="s">
        <v>135</v>
      </c>
      <c r="K321" s="309"/>
      <c r="L321" s="68">
        <f t="shared" ref="L321:AB321" si="159">L322</f>
        <v>2830921.54</v>
      </c>
      <c r="M321" s="69">
        <f t="shared" si="159"/>
        <v>0</v>
      </c>
      <c r="N321" s="216">
        <f t="shared" si="159"/>
        <v>1474366.07</v>
      </c>
      <c r="O321" s="216">
        <f t="shared" si="159"/>
        <v>327049.62000000005</v>
      </c>
      <c r="P321" s="216">
        <f t="shared" si="159"/>
        <v>1801415.6900000002</v>
      </c>
      <c r="Q321" s="68">
        <f t="shared" si="159"/>
        <v>1530881.16</v>
      </c>
      <c r="R321" s="216">
        <f t="shared" si="159"/>
        <v>359477.17</v>
      </c>
      <c r="S321" s="216">
        <f t="shared" si="159"/>
        <v>0</v>
      </c>
      <c r="T321" s="216">
        <f t="shared" si="159"/>
        <v>1801415.6900000002</v>
      </c>
      <c r="U321" s="68">
        <f t="shared" si="159"/>
        <v>1890358.33</v>
      </c>
      <c r="V321" s="216">
        <f t="shared" si="159"/>
        <v>1595534.05</v>
      </c>
      <c r="W321" s="215">
        <f t="shared" si="159"/>
        <v>457417.43</v>
      </c>
      <c r="X321" s="215">
        <f t="shared" si="159"/>
        <v>0</v>
      </c>
      <c r="Y321" s="216">
        <f t="shared" si="159"/>
        <v>1890358.33</v>
      </c>
      <c r="Z321" s="217">
        <f t="shared" si="159"/>
        <v>2052951.48</v>
      </c>
      <c r="AA321" s="216">
        <f t="shared" si="159"/>
        <v>0</v>
      </c>
      <c r="AB321" s="216">
        <f t="shared" si="159"/>
        <v>2052951.48</v>
      </c>
    </row>
    <row r="322" spans="1:28" ht="63" customHeight="1" x14ac:dyDescent="0.2">
      <c r="A322" s="212" t="s">
        <v>287</v>
      </c>
      <c r="B322" s="58" t="s">
        <v>109</v>
      </c>
      <c r="C322" s="58" t="s">
        <v>76</v>
      </c>
      <c r="D322" s="59" t="s">
        <v>72</v>
      </c>
      <c r="E322" s="66" t="s">
        <v>314</v>
      </c>
      <c r="F322" s="66" t="s">
        <v>135</v>
      </c>
      <c r="G322" s="66" t="s">
        <v>135</v>
      </c>
      <c r="H322" s="66" t="s">
        <v>135</v>
      </c>
      <c r="I322" s="66" t="s">
        <v>286</v>
      </c>
      <c r="J322" s="67" t="s">
        <v>137</v>
      </c>
      <c r="K322" s="309"/>
      <c r="L322" s="68">
        <f t="shared" ref="L322:AB323" si="160">L323</f>
        <v>2830921.54</v>
      </c>
      <c r="M322" s="69">
        <f t="shared" si="160"/>
        <v>0</v>
      </c>
      <c r="N322" s="216">
        <f t="shared" ref="N322:Z322" si="161">N323+N325</f>
        <v>1474366.07</v>
      </c>
      <c r="O322" s="216">
        <f t="shared" si="161"/>
        <v>327049.62000000005</v>
      </c>
      <c r="P322" s="216">
        <f t="shared" si="161"/>
        <v>1801415.6900000002</v>
      </c>
      <c r="Q322" s="68">
        <f t="shared" si="161"/>
        <v>1530881.16</v>
      </c>
      <c r="R322" s="216">
        <f t="shared" si="161"/>
        <v>359477.17</v>
      </c>
      <c r="S322" s="216">
        <f>S323+S325</f>
        <v>0</v>
      </c>
      <c r="T322" s="216">
        <f>T323+T325</f>
        <v>1801415.6900000002</v>
      </c>
      <c r="U322" s="68">
        <f t="shared" si="161"/>
        <v>1890358.33</v>
      </c>
      <c r="V322" s="216">
        <f t="shared" si="161"/>
        <v>1595534.05</v>
      </c>
      <c r="W322" s="215">
        <f t="shared" si="161"/>
        <v>457417.43</v>
      </c>
      <c r="X322" s="215">
        <f>X323+X325</f>
        <v>0</v>
      </c>
      <c r="Y322" s="216">
        <f>Y323+Y325</f>
        <v>1890358.33</v>
      </c>
      <c r="Z322" s="217">
        <f t="shared" si="161"/>
        <v>2052951.48</v>
      </c>
      <c r="AA322" s="216">
        <f>AA323+AA325</f>
        <v>0</v>
      </c>
      <c r="AB322" s="216">
        <f>AB323+AB325</f>
        <v>2052951.48</v>
      </c>
    </row>
    <row r="323" spans="1:28" ht="61.5" customHeight="1" x14ac:dyDescent="0.2">
      <c r="A323" s="212" t="s">
        <v>67</v>
      </c>
      <c r="B323" s="58" t="s">
        <v>109</v>
      </c>
      <c r="C323" s="58" t="s">
        <v>76</v>
      </c>
      <c r="D323" s="59" t="s">
        <v>72</v>
      </c>
      <c r="E323" s="66" t="s">
        <v>314</v>
      </c>
      <c r="F323" s="66" t="s">
        <v>135</v>
      </c>
      <c r="G323" s="66" t="s">
        <v>135</v>
      </c>
      <c r="H323" s="66" t="s">
        <v>135</v>
      </c>
      <c r="I323" s="66" t="s">
        <v>286</v>
      </c>
      <c r="J323" s="67" t="s">
        <v>137</v>
      </c>
      <c r="K323" s="309" t="s">
        <v>60</v>
      </c>
      <c r="L323" s="68">
        <f t="shared" si="160"/>
        <v>2830921.54</v>
      </c>
      <c r="M323" s="69">
        <f t="shared" si="160"/>
        <v>0</v>
      </c>
      <c r="N323" s="216">
        <f t="shared" si="160"/>
        <v>1359843.26</v>
      </c>
      <c r="O323" s="216">
        <f t="shared" si="160"/>
        <v>295618.10000000003</v>
      </c>
      <c r="P323" s="216">
        <f t="shared" si="160"/>
        <v>1655461.36</v>
      </c>
      <c r="Q323" s="68">
        <f t="shared" si="160"/>
        <v>1359843.26</v>
      </c>
      <c r="R323" s="216">
        <f t="shared" si="160"/>
        <v>413865.33999999997</v>
      </c>
      <c r="S323" s="216">
        <f t="shared" si="160"/>
        <v>10000</v>
      </c>
      <c r="T323" s="216">
        <f t="shared" si="160"/>
        <v>1665461.36</v>
      </c>
      <c r="U323" s="68">
        <f t="shared" si="160"/>
        <v>1773708.6</v>
      </c>
      <c r="V323" s="216">
        <f t="shared" si="160"/>
        <v>1359843.26</v>
      </c>
      <c r="W323" s="215">
        <f t="shared" si="160"/>
        <v>413865.33999999997</v>
      </c>
      <c r="X323" s="215">
        <f t="shared" si="160"/>
        <v>0</v>
      </c>
      <c r="Y323" s="216">
        <f t="shared" si="160"/>
        <v>1773708.6</v>
      </c>
      <c r="Z323" s="217">
        <f t="shared" si="160"/>
        <v>1773708.6</v>
      </c>
      <c r="AA323" s="216">
        <f t="shared" si="160"/>
        <v>0</v>
      </c>
      <c r="AB323" s="216">
        <f t="shared" si="160"/>
        <v>1773708.6</v>
      </c>
    </row>
    <row r="324" spans="1:28" ht="33" customHeight="1" x14ac:dyDescent="0.2">
      <c r="A324" s="212" t="s">
        <v>61</v>
      </c>
      <c r="B324" s="58" t="s">
        <v>109</v>
      </c>
      <c r="C324" s="58" t="s">
        <v>76</v>
      </c>
      <c r="D324" s="59" t="s">
        <v>72</v>
      </c>
      <c r="E324" s="66" t="s">
        <v>314</v>
      </c>
      <c r="F324" s="66" t="s">
        <v>135</v>
      </c>
      <c r="G324" s="66" t="s">
        <v>135</v>
      </c>
      <c r="H324" s="66" t="s">
        <v>135</v>
      </c>
      <c r="I324" s="66" t="s">
        <v>286</v>
      </c>
      <c r="J324" s="67" t="s">
        <v>137</v>
      </c>
      <c r="K324" s="309" t="s">
        <v>171</v>
      </c>
      <c r="L324" s="68">
        <v>2830921.54</v>
      </c>
      <c r="M324" s="69">
        <v>0</v>
      </c>
      <c r="N324" s="216">
        <v>1359843.26</v>
      </c>
      <c r="O324" s="216">
        <f>118247.24+118247.24+59123.62</f>
        <v>295618.10000000003</v>
      </c>
      <c r="P324" s="216">
        <f>O324+N324</f>
        <v>1655461.36</v>
      </c>
      <c r="Q324" s="215">
        <v>1359843.26</v>
      </c>
      <c r="R324" s="216">
        <f>118247.24+118247.24+177370.86</f>
        <v>413865.33999999997</v>
      </c>
      <c r="S324" s="216">
        <v>10000</v>
      </c>
      <c r="T324" s="216">
        <f>S324+P324</f>
        <v>1665461.36</v>
      </c>
      <c r="U324" s="217">
        <f>R324+Q324</f>
        <v>1773708.6</v>
      </c>
      <c r="V324" s="216">
        <v>1359843.26</v>
      </c>
      <c r="W324" s="215">
        <f>118247.24+118247.24+177370.86</f>
        <v>413865.33999999997</v>
      </c>
      <c r="X324" s="215">
        <v>0</v>
      </c>
      <c r="Y324" s="216">
        <v>1773708.6</v>
      </c>
      <c r="Z324" s="217">
        <f>W324+V324</f>
        <v>1773708.6</v>
      </c>
      <c r="AA324" s="216">
        <v>0</v>
      </c>
      <c r="AB324" s="216">
        <f>Y324+X324</f>
        <v>1773708.6</v>
      </c>
    </row>
    <row r="325" spans="1:28" ht="25.5" x14ac:dyDescent="0.2">
      <c r="A325" s="212" t="s">
        <v>52</v>
      </c>
      <c r="B325" s="58" t="s">
        <v>109</v>
      </c>
      <c r="C325" s="58" t="s">
        <v>76</v>
      </c>
      <c r="D325" s="59" t="s">
        <v>72</v>
      </c>
      <c r="E325" s="66" t="s">
        <v>314</v>
      </c>
      <c r="F325" s="66" t="s">
        <v>135</v>
      </c>
      <c r="G325" s="66" t="s">
        <v>135</v>
      </c>
      <c r="H325" s="66" t="s">
        <v>135</v>
      </c>
      <c r="I325" s="66" t="s">
        <v>286</v>
      </c>
      <c r="J325" s="67" t="s">
        <v>137</v>
      </c>
      <c r="K325" s="309" t="s">
        <v>53</v>
      </c>
      <c r="L325" s="68"/>
      <c r="M325" s="69"/>
      <c r="N325" s="216">
        <f t="shared" ref="N325:AB325" si="162">N326</f>
        <v>114522.81</v>
      </c>
      <c r="O325" s="216">
        <f t="shared" si="162"/>
        <v>31431.519999999997</v>
      </c>
      <c r="P325" s="216">
        <f t="shared" si="162"/>
        <v>145954.32999999999</v>
      </c>
      <c r="Q325" s="68">
        <f t="shared" si="162"/>
        <v>171037.9</v>
      </c>
      <c r="R325" s="216">
        <f t="shared" si="162"/>
        <v>-54388.170000000006</v>
      </c>
      <c r="S325" s="216">
        <f t="shared" si="162"/>
        <v>-10000</v>
      </c>
      <c r="T325" s="216">
        <f t="shared" si="162"/>
        <v>135954.32999999999</v>
      </c>
      <c r="U325" s="68">
        <f t="shared" si="162"/>
        <v>116649.72999999998</v>
      </c>
      <c r="V325" s="216">
        <f t="shared" si="162"/>
        <v>235690.79</v>
      </c>
      <c r="W325" s="215">
        <f t="shared" si="162"/>
        <v>43552.090000000004</v>
      </c>
      <c r="X325" s="215">
        <f t="shared" si="162"/>
        <v>0</v>
      </c>
      <c r="Y325" s="216">
        <f t="shared" si="162"/>
        <v>116649.73</v>
      </c>
      <c r="Z325" s="217">
        <f t="shared" si="162"/>
        <v>279242.88</v>
      </c>
      <c r="AA325" s="216">
        <f t="shared" si="162"/>
        <v>0</v>
      </c>
      <c r="AB325" s="216">
        <f t="shared" si="162"/>
        <v>279242.88</v>
      </c>
    </row>
    <row r="326" spans="1:28" ht="35.25" customHeight="1" x14ac:dyDescent="0.2">
      <c r="A326" s="212" t="s">
        <v>54</v>
      </c>
      <c r="B326" s="58" t="s">
        <v>109</v>
      </c>
      <c r="C326" s="58" t="s">
        <v>76</v>
      </c>
      <c r="D326" s="59" t="s">
        <v>72</v>
      </c>
      <c r="E326" s="66" t="s">
        <v>314</v>
      </c>
      <c r="F326" s="66" t="s">
        <v>135</v>
      </c>
      <c r="G326" s="66" t="s">
        <v>135</v>
      </c>
      <c r="H326" s="66" t="s">
        <v>135</v>
      </c>
      <c r="I326" s="66" t="s">
        <v>286</v>
      </c>
      <c r="J326" s="67" t="s">
        <v>137</v>
      </c>
      <c r="K326" s="309" t="s">
        <v>55</v>
      </c>
      <c r="L326" s="68"/>
      <c r="M326" s="69"/>
      <c r="N326" s="216">
        <v>114522.81</v>
      </c>
      <c r="O326" s="216">
        <f>9114.13+9114.13+13203.26</f>
        <v>31431.519999999997</v>
      </c>
      <c r="P326" s="216">
        <f>O326+N326</f>
        <v>145954.32999999999</v>
      </c>
      <c r="Q326" s="68">
        <v>171037.9</v>
      </c>
      <c r="R326" s="216">
        <f>13611.8+13611.8-81611.77</f>
        <v>-54388.170000000006</v>
      </c>
      <c r="S326" s="216">
        <v>-10000</v>
      </c>
      <c r="T326" s="216">
        <f>S326+P326</f>
        <v>135954.32999999999</v>
      </c>
      <c r="U326" s="68">
        <f>R326+Q326</f>
        <v>116649.72999999998</v>
      </c>
      <c r="V326" s="216">
        <v>235690.79</v>
      </c>
      <c r="W326" s="215">
        <f>18757.11+18757.11+6037.87</f>
        <v>43552.090000000004</v>
      </c>
      <c r="X326" s="215">
        <v>0</v>
      </c>
      <c r="Y326" s="216">
        <v>116649.73</v>
      </c>
      <c r="Z326" s="217">
        <f>W326+V326</f>
        <v>279242.88</v>
      </c>
      <c r="AA326" s="216">
        <v>0</v>
      </c>
      <c r="AB326" s="216">
        <v>279242.88</v>
      </c>
    </row>
    <row r="327" spans="1:28" ht="35.25" customHeight="1" x14ac:dyDescent="0.2">
      <c r="A327" s="212" t="s">
        <v>85</v>
      </c>
      <c r="B327" s="58" t="s">
        <v>109</v>
      </c>
      <c r="C327" s="58" t="s">
        <v>72</v>
      </c>
      <c r="D327" s="59"/>
      <c r="E327" s="66"/>
      <c r="F327" s="66"/>
      <c r="G327" s="66"/>
      <c r="H327" s="66"/>
      <c r="I327" s="66"/>
      <c r="J327" s="67"/>
      <c r="K327" s="309"/>
      <c r="L327" s="68"/>
      <c r="M327" s="69"/>
      <c r="N327" s="216">
        <f t="shared" ref="N327:AB327" si="163">N328</f>
        <v>0</v>
      </c>
      <c r="O327" s="216">
        <f t="shared" si="163"/>
        <v>1000000</v>
      </c>
      <c r="P327" s="216">
        <f t="shared" si="163"/>
        <v>2534370</v>
      </c>
      <c r="Q327" s="68">
        <f t="shared" si="163"/>
        <v>43022554.18</v>
      </c>
      <c r="R327" s="216">
        <f t="shared" si="163"/>
        <v>66403540</v>
      </c>
      <c r="S327" s="216">
        <f t="shared" si="163"/>
        <v>-1579370</v>
      </c>
      <c r="T327" s="216">
        <f t="shared" si="163"/>
        <v>955000</v>
      </c>
      <c r="U327" s="68">
        <f t="shared" si="163"/>
        <v>54713047.090000004</v>
      </c>
      <c r="V327" s="216">
        <f t="shared" si="163"/>
        <v>176683594.18000001</v>
      </c>
      <c r="W327" s="215">
        <f t="shared" si="163"/>
        <v>1960000</v>
      </c>
      <c r="X327" s="215">
        <f t="shared" si="163"/>
        <v>0</v>
      </c>
      <c r="Y327" s="216">
        <f t="shared" si="163"/>
        <v>54713047.090000004</v>
      </c>
      <c r="Z327" s="217">
        <f t="shared" si="163"/>
        <v>89321797.090000004</v>
      </c>
      <c r="AA327" s="216">
        <f t="shared" si="163"/>
        <v>0</v>
      </c>
      <c r="AB327" s="216">
        <f t="shared" si="163"/>
        <v>89321797.090000004</v>
      </c>
    </row>
    <row r="328" spans="1:28" ht="25.5" x14ac:dyDescent="0.2">
      <c r="A328" s="207" t="s">
        <v>228</v>
      </c>
      <c r="B328" s="58" t="s">
        <v>109</v>
      </c>
      <c r="C328" s="77" t="s">
        <v>72</v>
      </c>
      <c r="D328" s="78" t="s">
        <v>88</v>
      </c>
      <c r="E328" s="66"/>
      <c r="F328" s="66"/>
      <c r="G328" s="66"/>
      <c r="H328" s="66"/>
      <c r="I328" s="66"/>
      <c r="J328" s="67"/>
      <c r="K328" s="309"/>
      <c r="L328" s="68" t="e">
        <f t="shared" ref="L328:O329" si="164">L329</f>
        <v>#REF!</v>
      </c>
      <c r="M328" s="69" t="e">
        <f t="shared" si="164"/>
        <v>#REF!</v>
      </c>
      <c r="N328" s="216">
        <f>N329</f>
        <v>0</v>
      </c>
      <c r="O328" s="216">
        <f>O329</f>
        <v>1000000</v>
      </c>
      <c r="P328" s="216">
        <f>P329</f>
        <v>2534370</v>
      </c>
      <c r="Q328" s="68">
        <f t="shared" ref="Q328:AB334" si="165">Q329</f>
        <v>43022554.18</v>
      </c>
      <c r="R328" s="216">
        <f t="shared" si="165"/>
        <v>66403540</v>
      </c>
      <c r="S328" s="216">
        <f>S329</f>
        <v>-1579370</v>
      </c>
      <c r="T328" s="216">
        <f>T329</f>
        <v>955000</v>
      </c>
      <c r="U328" s="68">
        <f t="shared" si="165"/>
        <v>54713047.090000004</v>
      </c>
      <c r="V328" s="216">
        <f t="shared" si="165"/>
        <v>176683594.18000001</v>
      </c>
      <c r="W328" s="215">
        <f t="shared" si="165"/>
        <v>1960000</v>
      </c>
      <c r="X328" s="215">
        <f t="shared" si="165"/>
        <v>0</v>
      </c>
      <c r="Y328" s="216">
        <f t="shared" si="165"/>
        <v>54713047.090000004</v>
      </c>
      <c r="Z328" s="217">
        <f t="shared" si="165"/>
        <v>89321797.090000004</v>
      </c>
      <c r="AA328" s="216">
        <f t="shared" si="165"/>
        <v>0</v>
      </c>
      <c r="AB328" s="216">
        <f t="shared" si="165"/>
        <v>89321797.090000004</v>
      </c>
    </row>
    <row r="329" spans="1:28" ht="60.75" customHeight="1" x14ac:dyDescent="0.2">
      <c r="A329" s="212" t="s">
        <v>349</v>
      </c>
      <c r="B329" s="58" t="s">
        <v>109</v>
      </c>
      <c r="C329" s="77" t="s">
        <v>72</v>
      </c>
      <c r="D329" s="78" t="s">
        <v>88</v>
      </c>
      <c r="E329" s="66" t="s">
        <v>249</v>
      </c>
      <c r="F329" s="66" t="s">
        <v>135</v>
      </c>
      <c r="G329" s="66" t="s">
        <v>135</v>
      </c>
      <c r="H329" s="66" t="s">
        <v>135</v>
      </c>
      <c r="I329" s="66" t="s">
        <v>136</v>
      </c>
      <c r="J329" s="67" t="s">
        <v>135</v>
      </c>
      <c r="K329" s="309"/>
      <c r="L329" s="68" t="e">
        <f t="shared" si="164"/>
        <v>#REF!</v>
      </c>
      <c r="M329" s="69" t="e">
        <f t="shared" si="164"/>
        <v>#REF!</v>
      </c>
      <c r="N329" s="216">
        <f t="shared" si="164"/>
        <v>0</v>
      </c>
      <c r="O329" s="216">
        <f t="shared" si="164"/>
        <v>1000000</v>
      </c>
      <c r="P329" s="216">
        <f>P330+P333</f>
        <v>2534370</v>
      </c>
      <c r="Q329" s="216">
        <f t="shared" ref="Q329:AB329" si="166">Q330+Q333</f>
        <v>43022554.18</v>
      </c>
      <c r="R329" s="216">
        <f t="shared" si="166"/>
        <v>66403540</v>
      </c>
      <c r="S329" s="216">
        <f t="shared" si="166"/>
        <v>-1579370</v>
      </c>
      <c r="T329" s="216">
        <f t="shared" si="166"/>
        <v>955000</v>
      </c>
      <c r="U329" s="217">
        <f t="shared" si="166"/>
        <v>54713047.090000004</v>
      </c>
      <c r="V329" s="216">
        <f t="shared" si="166"/>
        <v>176683594.18000001</v>
      </c>
      <c r="W329" s="216">
        <f t="shared" si="166"/>
        <v>1960000</v>
      </c>
      <c r="X329" s="215">
        <f t="shared" si="166"/>
        <v>0</v>
      </c>
      <c r="Y329" s="216">
        <f t="shared" si="166"/>
        <v>54713047.090000004</v>
      </c>
      <c r="Z329" s="217">
        <f t="shared" si="166"/>
        <v>89321797.090000004</v>
      </c>
      <c r="AA329" s="216">
        <f t="shared" si="166"/>
        <v>0</v>
      </c>
      <c r="AB329" s="216">
        <f t="shared" si="166"/>
        <v>89321797.090000004</v>
      </c>
    </row>
    <row r="330" spans="1:28" ht="25.5" x14ac:dyDescent="0.2">
      <c r="A330" s="212" t="s">
        <v>251</v>
      </c>
      <c r="B330" s="58" t="s">
        <v>109</v>
      </c>
      <c r="C330" s="77" t="s">
        <v>72</v>
      </c>
      <c r="D330" s="78" t="s">
        <v>88</v>
      </c>
      <c r="E330" s="66" t="s">
        <v>249</v>
      </c>
      <c r="F330" s="66" t="s">
        <v>135</v>
      </c>
      <c r="G330" s="66" t="s">
        <v>135</v>
      </c>
      <c r="H330" s="66" t="s">
        <v>135</v>
      </c>
      <c r="I330" s="66" t="s">
        <v>196</v>
      </c>
      <c r="J330" s="67" t="s">
        <v>135</v>
      </c>
      <c r="K330" s="309"/>
      <c r="L330" s="68" t="e">
        <f>#REF!+L331</f>
        <v>#REF!</v>
      </c>
      <c r="M330" s="69" t="e">
        <f>#REF!+M331</f>
        <v>#REF!</v>
      </c>
      <c r="N330" s="216">
        <f t="shared" ref="N330:P334" si="167">N331</f>
        <v>0</v>
      </c>
      <c r="O330" s="216">
        <f t="shared" si="167"/>
        <v>1000000</v>
      </c>
      <c r="P330" s="216">
        <f t="shared" si="167"/>
        <v>1000000</v>
      </c>
      <c r="Q330" s="68">
        <f t="shared" si="165"/>
        <v>21511277.09</v>
      </c>
      <c r="R330" s="216">
        <f t="shared" si="165"/>
        <v>33201770</v>
      </c>
      <c r="S330" s="216">
        <f t="shared" si="165"/>
        <v>-45000</v>
      </c>
      <c r="T330" s="216">
        <f t="shared" si="165"/>
        <v>955000</v>
      </c>
      <c r="U330" s="68">
        <f t="shared" si="165"/>
        <v>54713047.090000004</v>
      </c>
      <c r="V330" s="216">
        <f t="shared" si="165"/>
        <v>88341797.090000004</v>
      </c>
      <c r="W330" s="215">
        <f t="shared" si="165"/>
        <v>980000</v>
      </c>
      <c r="X330" s="215">
        <f t="shared" si="165"/>
        <v>0</v>
      </c>
      <c r="Y330" s="216">
        <f t="shared" si="165"/>
        <v>54713047.090000004</v>
      </c>
      <c r="Z330" s="217">
        <f t="shared" si="165"/>
        <v>89321797.090000004</v>
      </c>
      <c r="AA330" s="216">
        <f t="shared" si="165"/>
        <v>0</v>
      </c>
      <c r="AB330" s="216">
        <f t="shared" si="165"/>
        <v>89321797.090000004</v>
      </c>
    </row>
    <row r="331" spans="1:28" ht="25.5" x14ac:dyDescent="0.2">
      <c r="A331" s="212" t="s">
        <v>52</v>
      </c>
      <c r="B331" s="58" t="s">
        <v>109</v>
      </c>
      <c r="C331" s="77" t="s">
        <v>72</v>
      </c>
      <c r="D331" s="78" t="s">
        <v>88</v>
      </c>
      <c r="E331" s="66" t="s">
        <v>249</v>
      </c>
      <c r="F331" s="66" t="s">
        <v>135</v>
      </c>
      <c r="G331" s="66" t="s">
        <v>135</v>
      </c>
      <c r="H331" s="66" t="s">
        <v>135</v>
      </c>
      <c r="I331" s="66" t="s">
        <v>196</v>
      </c>
      <c r="J331" s="67" t="s">
        <v>135</v>
      </c>
      <c r="K331" s="309" t="s">
        <v>53</v>
      </c>
      <c r="L331" s="120">
        <f>L332</f>
        <v>24300</v>
      </c>
      <c r="M331" s="121">
        <f>M332</f>
        <v>0</v>
      </c>
      <c r="N331" s="216">
        <f t="shared" si="167"/>
        <v>0</v>
      </c>
      <c r="O331" s="216">
        <f t="shared" si="167"/>
        <v>1000000</v>
      </c>
      <c r="P331" s="216">
        <f t="shared" si="167"/>
        <v>1000000</v>
      </c>
      <c r="Q331" s="68">
        <f t="shared" ref="Q331:AB331" si="168">Q332</f>
        <v>21511277.09</v>
      </c>
      <c r="R331" s="216">
        <f t="shared" si="168"/>
        <v>33201770</v>
      </c>
      <c r="S331" s="216">
        <f t="shared" si="165"/>
        <v>-45000</v>
      </c>
      <c r="T331" s="216">
        <f t="shared" si="165"/>
        <v>955000</v>
      </c>
      <c r="U331" s="68">
        <f t="shared" si="168"/>
        <v>54713047.090000004</v>
      </c>
      <c r="V331" s="216">
        <f t="shared" si="168"/>
        <v>88341797.090000004</v>
      </c>
      <c r="W331" s="215">
        <f t="shared" si="168"/>
        <v>980000</v>
      </c>
      <c r="X331" s="215">
        <f t="shared" si="168"/>
        <v>0</v>
      </c>
      <c r="Y331" s="216">
        <f t="shared" si="168"/>
        <v>54713047.090000004</v>
      </c>
      <c r="Z331" s="217">
        <f t="shared" si="168"/>
        <v>89321797.090000004</v>
      </c>
      <c r="AA331" s="216">
        <f t="shared" si="168"/>
        <v>0</v>
      </c>
      <c r="AB331" s="216">
        <f t="shared" si="168"/>
        <v>89321797.090000004</v>
      </c>
    </row>
    <row r="332" spans="1:28" ht="25.5" x14ac:dyDescent="0.2">
      <c r="A332" s="212" t="s">
        <v>54</v>
      </c>
      <c r="B332" s="58" t="s">
        <v>109</v>
      </c>
      <c r="C332" s="77" t="s">
        <v>72</v>
      </c>
      <c r="D332" s="78" t="s">
        <v>88</v>
      </c>
      <c r="E332" s="66" t="s">
        <v>249</v>
      </c>
      <c r="F332" s="66" t="s">
        <v>135</v>
      </c>
      <c r="G332" s="66" t="s">
        <v>135</v>
      </c>
      <c r="H332" s="66" t="s">
        <v>135</v>
      </c>
      <c r="I332" s="66" t="s">
        <v>196</v>
      </c>
      <c r="J332" s="67" t="s">
        <v>135</v>
      </c>
      <c r="K332" s="309" t="s">
        <v>55</v>
      </c>
      <c r="L332" s="122">
        <v>24300</v>
      </c>
      <c r="M332" s="123">
        <v>0</v>
      </c>
      <c r="N332" s="210">
        <v>0</v>
      </c>
      <c r="O332" s="210">
        <v>1000000</v>
      </c>
      <c r="P332" s="210">
        <f>O332</f>
        <v>1000000</v>
      </c>
      <c r="Q332" s="118">
        <v>21511277.09</v>
      </c>
      <c r="R332" s="210">
        <f>14539830+18661940</f>
        <v>33201770</v>
      </c>
      <c r="S332" s="210">
        <v>-45000</v>
      </c>
      <c r="T332" s="210">
        <f>S332+P332</f>
        <v>955000</v>
      </c>
      <c r="U332" s="118">
        <f>R332+Q332</f>
        <v>54713047.090000004</v>
      </c>
      <c r="V332" s="210">
        <v>88341797.090000004</v>
      </c>
      <c r="W332" s="209">
        <f>730500+249500</f>
        <v>980000</v>
      </c>
      <c r="X332" s="209">
        <v>0</v>
      </c>
      <c r="Y332" s="210">
        <v>54713047.090000004</v>
      </c>
      <c r="Z332" s="211">
        <f>W332+V332</f>
        <v>89321797.090000004</v>
      </c>
      <c r="AA332" s="210">
        <v>0</v>
      </c>
      <c r="AB332" s="210">
        <v>89321797.090000004</v>
      </c>
    </row>
    <row r="333" spans="1:28" ht="35.25" hidden="1" customHeight="1" x14ac:dyDescent="0.2">
      <c r="A333" s="212" t="s">
        <v>347</v>
      </c>
      <c r="B333" s="58" t="s">
        <v>109</v>
      </c>
      <c r="C333" s="77" t="s">
        <v>72</v>
      </c>
      <c r="D333" s="78" t="s">
        <v>88</v>
      </c>
      <c r="E333" s="66" t="s">
        <v>249</v>
      </c>
      <c r="F333" s="66" t="s">
        <v>135</v>
      </c>
      <c r="G333" s="66" t="s">
        <v>135</v>
      </c>
      <c r="H333" s="66" t="s">
        <v>135</v>
      </c>
      <c r="I333" s="66" t="s">
        <v>389</v>
      </c>
      <c r="J333" s="67" t="s">
        <v>135</v>
      </c>
      <c r="K333" s="309"/>
      <c r="L333" s="68" t="e">
        <f>#REF!+L334</f>
        <v>#REF!</v>
      </c>
      <c r="M333" s="69" t="e">
        <f>#REF!+M334</f>
        <v>#REF!</v>
      </c>
      <c r="N333" s="216">
        <f t="shared" si="167"/>
        <v>0</v>
      </c>
      <c r="O333" s="216">
        <f t="shared" si="167"/>
        <v>1000000</v>
      </c>
      <c r="P333" s="216">
        <f t="shared" si="167"/>
        <v>1534370</v>
      </c>
      <c r="Q333" s="68">
        <f t="shared" si="165"/>
        <v>21511277.09</v>
      </c>
      <c r="R333" s="216">
        <f t="shared" si="165"/>
        <v>33201770</v>
      </c>
      <c r="S333" s="216">
        <f t="shared" si="165"/>
        <v>-1534370</v>
      </c>
      <c r="T333" s="216">
        <f t="shared" si="165"/>
        <v>0</v>
      </c>
      <c r="U333" s="68">
        <f t="shared" si="165"/>
        <v>0</v>
      </c>
      <c r="V333" s="216">
        <f t="shared" si="165"/>
        <v>88341797.090000004</v>
      </c>
      <c r="W333" s="215">
        <f t="shared" si="165"/>
        <v>980000</v>
      </c>
      <c r="X333" s="215">
        <f t="shared" si="165"/>
        <v>0</v>
      </c>
      <c r="Y333" s="216">
        <f t="shared" si="165"/>
        <v>0</v>
      </c>
      <c r="Z333" s="217">
        <f t="shared" si="165"/>
        <v>0</v>
      </c>
      <c r="AA333" s="216">
        <f t="shared" si="165"/>
        <v>0</v>
      </c>
      <c r="AB333" s="216">
        <f t="shared" si="165"/>
        <v>0</v>
      </c>
    </row>
    <row r="334" spans="1:28" ht="25.5" hidden="1" x14ac:dyDescent="0.2">
      <c r="A334" s="212" t="s">
        <v>52</v>
      </c>
      <c r="B334" s="58" t="s">
        <v>109</v>
      </c>
      <c r="C334" s="77" t="s">
        <v>72</v>
      </c>
      <c r="D334" s="78" t="s">
        <v>88</v>
      </c>
      <c r="E334" s="66" t="s">
        <v>249</v>
      </c>
      <c r="F334" s="66" t="s">
        <v>135</v>
      </c>
      <c r="G334" s="66" t="s">
        <v>135</v>
      </c>
      <c r="H334" s="66" t="s">
        <v>135</v>
      </c>
      <c r="I334" s="66" t="s">
        <v>389</v>
      </c>
      <c r="J334" s="67" t="s">
        <v>135</v>
      </c>
      <c r="K334" s="309" t="s">
        <v>53</v>
      </c>
      <c r="L334" s="120">
        <f>L335</f>
        <v>24300</v>
      </c>
      <c r="M334" s="121">
        <f>M335</f>
        <v>0</v>
      </c>
      <c r="N334" s="216">
        <f t="shared" si="167"/>
        <v>0</v>
      </c>
      <c r="O334" s="216">
        <f t="shared" si="167"/>
        <v>1000000</v>
      </c>
      <c r="P334" s="216">
        <f t="shared" si="167"/>
        <v>1534370</v>
      </c>
      <c r="Q334" s="68">
        <f t="shared" si="165"/>
        <v>21511277.09</v>
      </c>
      <c r="R334" s="216">
        <f t="shared" si="165"/>
        <v>33201770</v>
      </c>
      <c r="S334" s="216">
        <f t="shared" si="165"/>
        <v>-1534370</v>
      </c>
      <c r="T334" s="216">
        <f t="shared" si="165"/>
        <v>0</v>
      </c>
      <c r="U334" s="68">
        <f t="shared" si="165"/>
        <v>0</v>
      </c>
      <c r="V334" s="216">
        <f t="shared" si="165"/>
        <v>88341797.090000004</v>
      </c>
      <c r="W334" s="215">
        <f t="shared" si="165"/>
        <v>980000</v>
      </c>
      <c r="X334" s="215">
        <f t="shared" si="165"/>
        <v>0</v>
      </c>
      <c r="Y334" s="216">
        <f t="shared" si="165"/>
        <v>0</v>
      </c>
      <c r="Z334" s="217">
        <f t="shared" si="165"/>
        <v>0</v>
      </c>
      <c r="AA334" s="216">
        <f t="shared" si="165"/>
        <v>0</v>
      </c>
      <c r="AB334" s="216">
        <f t="shared" si="165"/>
        <v>0</v>
      </c>
    </row>
    <row r="335" spans="1:28" ht="25.5" hidden="1" x14ac:dyDescent="0.2">
      <c r="A335" s="212" t="s">
        <v>54</v>
      </c>
      <c r="B335" s="58" t="s">
        <v>109</v>
      </c>
      <c r="C335" s="77" t="s">
        <v>72</v>
      </c>
      <c r="D335" s="78" t="s">
        <v>88</v>
      </c>
      <c r="E335" s="66" t="s">
        <v>249</v>
      </c>
      <c r="F335" s="66" t="s">
        <v>135</v>
      </c>
      <c r="G335" s="66" t="s">
        <v>135</v>
      </c>
      <c r="H335" s="66" t="s">
        <v>135</v>
      </c>
      <c r="I335" s="66" t="s">
        <v>389</v>
      </c>
      <c r="J335" s="67" t="s">
        <v>135</v>
      </c>
      <c r="K335" s="309" t="s">
        <v>55</v>
      </c>
      <c r="L335" s="122">
        <v>24300</v>
      </c>
      <c r="M335" s="123">
        <v>0</v>
      </c>
      <c r="N335" s="210">
        <v>0</v>
      </c>
      <c r="O335" s="210">
        <v>1000000</v>
      </c>
      <c r="P335" s="210">
        <v>1534370</v>
      </c>
      <c r="Q335" s="118">
        <v>21511277.09</v>
      </c>
      <c r="R335" s="210">
        <f>14539830+18661940</f>
        <v>33201770</v>
      </c>
      <c r="S335" s="210">
        <v>-1534370</v>
      </c>
      <c r="T335" s="210">
        <f>S335+P335</f>
        <v>0</v>
      </c>
      <c r="U335" s="118">
        <v>0</v>
      </c>
      <c r="V335" s="210">
        <v>88341797.090000004</v>
      </c>
      <c r="W335" s="209">
        <f>730500+249500</f>
        <v>980000</v>
      </c>
      <c r="X335" s="209">
        <v>0</v>
      </c>
      <c r="Y335" s="210">
        <v>0</v>
      </c>
      <c r="Z335" s="211">
        <v>0</v>
      </c>
      <c r="AA335" s="210">
        <v>0</v>
      </c>
      <c r="AB335" s="210">
        <v>0</v>
      </c>
    </row>
    <row r="336" spans="1:28" x14ac:dyDescent="0.2">
      <c r="A336" s="207" t="s">
        <v>87</v>
      </c>
      <c r="B336" s="58" t="s">
        <v>109</v>
      </c>
      <c r="C336" s="58" t="s">
        <v>71</v>
      </c>
      <c r="D336" s="59"/>
      <c r="E336" s="60"/>
      <c r="F336" s="60"/>
      <c r="G336" s="66"/>
      <c r="H336" s="66"/>
      <c r="I336" s="60"/>
      <c r="J336" s="67"/>
      <c r="K336" s="408"/>
      <c r="L336" s="101" t="e">
        <f t="shared" ref="L336:Z336" si="169">L337+L364+L382+L344</f>
        <v>#REF!</v>
      </c>
      <c r="M336" s="102" t="e">
        <f t="shared" si="169"/>
        <v>#REF!</v>
      </c>
      <c r="N336" s="248">
        <f t="shared" si="169"/>
        <v>39381471.330000006</v>
      </c>
      <c r="O336" s="248">
        <f t="shared" si="169"/>
        <v>2810028.0100000002</v>
      </c>
      <c r="P336" s="248">
        <f t="shared" si="169"/>
        <v>74003294.989999995</v>
      </c>
      <c r="Q336" s="101">
        <f t="shared" si="169"/>
        <v>218426050.78999999</v>
      </c>
      <c r="R336" s="248">
        <f t="shared" si="169"/>
        <v>6807338.1099999994</v>
      </c>
      <c r="S336" s="248">
        <f>S337+S364+S382+S344</f>
        <v>13796067.050000001</v>
      </c>
      <c r="T336" s="248">
        <f>T337+T364+T382+T344</f>
        <v>87799362.039999992</v>
      </c>
      <c r="U336" s="101">
        <f t="shared" si="169"/>
        <v>110624769.75</v>
      </c>
      <c r="V336" s="248">
        <f t="shared" si="169"/>
        <v>199870885.78</v>
      </c>
      <c r="W336" s="473">
        <f t="shared" si="169"/>
        <v>2810028.0100000002</v>
      </c>
      <c r="X336" s="473">
        <f>X337+X364+X382+X344</f>
        <v>6427933.04</v>
      </c>
      <c r="Y336" s="248">
        <f>Y337+Y364+Y382+Y344</f>
        <v>117052702.78999999</v>
      </c>
      <c r="Z336" s="249">
        <f t="shared" si="169"/>
        <v>88072294.640000001</v>
      </c>
      <c r="AA336" s="248">
        <f>AA337+AA364+AA382+AA344</f>
        <v>6427933.04</v>
      </c>
      <c r="AB336" s="248">
        <f>AB337+AB364+AB382+AB344</f>
        <v>94500227.680000007</v>
      </c>
    </row>
    <row r="337" spans="1:28" x14ac:dyDescent="0.2">
      <c r="A337" s="207" t="s">
        <v>35</v>
      </c>
      <c r="B337" s="58" t="s">
        <v>109</v>
      </c>
      <c r="C337" s="58" t="s">
        <v>71</v>
      </c>
      <c r="D337" s="59" t="s">
        <v>73</v>
      </c>
      <c r="E337" s="60"/>
      <c r="F337" s="60"/>
      <c r="G337" s="66"/>
      <c r="H337" s="66"/>
      <c r="I337" s="60"/>
      <c r="J337" s="67"/>
      <c r="K337" s="408"/>
      <c r="L337" s="101">
        <f t="shared" ref="L337:AB338" si="170">L338</f>
        <v>1584000</v>
      </c>
      <c r="M337" s="102">
        <f t="shared" si="170"/>
        <v>0</v>
      </c>
      <c r="N337" s="248">
        <f t="shared" si="170"/>
        <v>0</v>
      </c>
      <c r="O337" s="248">
        <f t="shared" si="170"/>
        <v>0</v>
      </c>
      <c r="P337" s="248">
        <f t="shared" si="170"/>
        <v>0</v>
      </c>
      <c r="Q337" s="101">
        <f t="shared" si="170"/>
        <v>1573000</v>
      </c>
      <c r="R337" s="248">
        <f t="shared" si="170"/>
        <v>0</v>
      </c>
      <c r="S337" s="248">
        <f t="shared" si="170"/>
        <v>0</v>
      </c>
      <c r="T337" s="248">
        <f t="shared" si="170"/>
        <v>0</v>
      </c>
      <c r="U337" s="101">
        <f t="shared" si="170"/>
        <v>1573000</v>
      </c>
      <c r="V337" s="248">
        <f t="shared" si="170"/>
        <v>1573000</v>
      </c>
      <c r="W337" s="473">
        <f t="shared" si="170"/>
        <v>0</v>
      </c>
      <c r="X337" s="473">
        <f t="shared" si="170"/>
        <v>0</v>
      </c>
      <c r="Y337" s="248">
        <f t="shared" si="170"/>
        <v>1573000</v>
      </c>
      <c r="Z337" s="249">
        <f t="shared" si="170"/>
        <v>1573000</v>
      </c>
      <c r="AA337" s="248">
        <f t="shared" si="170"/>
        <v>0</v>
      </c>
      <c r="AB337" s="248">
        <f t="shared" si="170"/>
        <v>1573000</v>
      </c>
    </row>
    <row r="338" spans="1:28" ht="25.5" x14ac:dyDescent="0.2">
      <c r="A338" s="212" t="s">
        <v>325</v>
      </c>
      <c r="B338" s="58" t="s">
        <v>109</v>
      </c>
      <c r="C338" s="58" t="s">
        <v>71</v>
      </c>
      <c r="D338" s="59" t="s">
        <v>73</v>
      </c>
      <c r="E338" s="66" t="s">
        <v>88</v>
      </c>
      <c r="F338" s="66" t="s">
        <v>135</v>
      </c>
      <c r="G338" s="66" t="s">
        <v>135</v>
      </c>
      <c r="H338" s="66" t="s">
        <v>135</v>
      </c>
      <c r="I338" s="66" t="s">
        <v>136</v>
      </c>
      <c r="J338" s="67" t="s">
        <v>135</v>
      </c>
      <c r="K338" s="309"/>
      <c r="L338" s="68">
        <f t="shared" si="170"/>
        <v>1584000</v>
      </c>
      <c r="M338" s="69">
        <f t="shared" si="170"/>
        <v>0</v>
      </c>
      <c r="N338" s="216">
        <f t="shared" si="170"/>
        <v>0</v>
      </c>
      <c r="O338" s="216">
        <f t="shared" si="170"/>
        <v>0</v>
      </c>
      <c r="P338" s="216">
        <f t="shared" si="170"/>
        <v>0</v>
      </c>
      <c r="Q338" s="68">
        <f t="shared" si="170"/>
        <v>1573000</v>
      </c>
      <c r="R338" s="216">
        <f t="shared" si="170"/>
        <v>0</v>
      </c>
      <c r="S338" s="216">
        <f t="shared" si="170"/>
        <v>0</v>
      </c>
      <c r="T338" s="216">
        <f t="shared" si="170"/>
        <v>0</v>
      </c>
      <c r="U338" s="68">
        <f t="shared" si="170"/>
        <v>1573000</v>
      </c>
      <c r="V338" s="216">
        <f t="shared" si="170"/>
        <v>1573000</v>
      </c>
      <c r="W338" s="215">
        <f t="shared" si="170"/>
        <v>0</v>
      </c>
      <c r="X338" s="215">
        <f t="shared" si="170"/>
        <v>0</v>
      </c>
      <c r="Y338" s="216">
        <f t="shared" si="170"/>
        <v>1573000</v>
      </c>
      <c r="Z338" s="217">
        <f t="shared" si="170"/>
        <v>1573000</v>
      </c>
      <c r="AA338" s="216">
        <f t="shared" si="170"/>
        <v>0</v>
      </c>
      <c r="AB338" s="216">
        <f t="shared" si="170"/>
        <v>1573000</v>
      </c>
    </row>
    <row r="339" spans="1:28" x14ac:dyDescent="0.2">
      <c r="A339" s="212" t="s">
        <v>138</v>
      </c>
      <c r="B339" s="58" t="s">
        <v>109</v>
      </c>
      <c r="C339" s="58" t="s">
        <v>71</v>
      </c>
      <c r="D339" s="59" t="s">
        <v>73</v>
      </c>
      <c r="E339" s="66" t="s">
        <v>88</v>
      </c>
      <c r="F339" s="66" t="s">
        <v>135</v>
      </c>
      <c r="G339" s="66" t="s">
        <v>135</v>
      </c>
      <c r="H339" s="66" t="s">
        <v>135</v>
      </c>
      <c r="I339" s="66" t="s">
        <v>139</v>
      </c>
      <c r="J339" s="67" t="s">
        <v>135</v>
      </c>
      <c r="K339" s="309"/>
      <c r="L339" s="68">
        <f t="shared" ref="L339:Z339" si="171">L342+L340</f>
        <v>1584000</v>
      </c>
      <c r="M339" s="69">
        <f t="shared" si="171"/>
        <v>0</v>
      </c>
      <c r="N339" s="216">
        <f t="shared" si="171"/>
        <v>0</v>
      </c>
      <c r="O339" s="216">
        <f t="shared" si="171"/>
        <v>0</v>
      </c>
      <c r="P339" s="216">
        <f t="shared" si="171"/>
        <v>0</v>
      </c>
      <c r="Q339" s="68">
        <f t="shared" si="171"/>
        <v>1573000</v>
      </c>
      <c r="R339" s="216">
        <f t="shared" si="171"/>
        <v>0</v>
      </c>
      <c r="S339" s="216">
        <f>S342+S340</f>
        <v>0</v>
      </c>
      <c r="T339" s="216">
        <f>T342+T340</f>
        <v>0</v>
      </c>
      <c r="U339" s="68">
        <f t="shared" si="171"/>
        <v>1573000</v>
      </c>
      <c r="V339" s="216">
        <f t="shared" si="171"/>
        <v>1573000</v>
      </c>
      <c r="W339" s="215">
        <f t="shared" si="171"/>
        <v>0</v>
      </c>
      <c r="X339" s="215">
        <f>X342+X340</f>
        <v>0</v>
      </c>
      <c r="Y339" s="216">
        <f>Y342+Y340</f>
        <v>1573000</v>
      </c>
      <c r="Z339" s="217">
        <f t="shared" si="171"/>
        <v>1573000</v>
      </c>
      <c r="AA339" s="216">
        <f>AA342+AA340</f>
        <v>0</v>
      </c>
      <c r="AB339" s="216">
        <f>AB342+AB340</f>
        <v>1573000</v>
      </c>
    </row>
    <row r="340" spans="1:28" ht="25.5" x14ac:dyDescent="0.2">
      <c r="A340" s="212" t="s">
        <v>52</v>
      </c>
      <c r="B340" s="58" t="s">
        <v>109</v>
      </c>
      <c r="C340" s="58" t="s">
        <v>71</v>
      </c>
      <c r="D340" s="59" t="s">
        <v>73</v>
      </c>
      <c r="E340" s="66" t="s">
        <v>88</v>
      </c>
      <c r="F340" s="66" t="s">
        <v>135</v>
      </c>
      <c r="G340" s="66" t="s">
        <v>135</v>
      </c>
      <c r="H340" s="66" t="s">
        <v>135</v>
      </c>
      <c r="I340" s="66" t="s">
        <v>139</v>
      </c>
      <c r="J340" s="67" t="s">
        <v>135</v>
      </c>
      <c r="K340" s="309" t="s">
        <v>53</v>
      </c>
      <c r="L340" s="68">
        <f t="shared" ref="L340:AB340" si="172">L341</f>
        <v>400000</v>
      </c>
      <c r="M340" s="69">
        <f t="shared" si="172"/>
        <v>0</v>
      </c>
      <c r="N340" s="216">
        <f t="shared" si="172"/>
        <v>0</v>
      </c>
      <c r="O340" s="216">
        <f t="shared" si="172"/>
        <v>0</v>
      </c>
      <c r="P340" s="216">
        <f t="shared" si="172"/>
        <v>0</v>
      </c>
      <c r="Q340" s="68">
        <f t="shared" si="172"/>
        <v>23000</v>
      </c>
      <c r="R340" s="216">
        <f t="shared" si="172"/>
        <v>0</v>
      </c>
      <c r="S340" s="216">
        <f t="shared" si="172"/>
        <v>0</v>
      </c>
      <c r="T340" s="216">
        <f t="shared" si="172"/>
        <v>0</v>
      </c>
      <c r="U340" s="68">
        <f t="shared" si="172"/>
        <v>23000</v>
      </c>
      <c r="V340" s="216">
        <f t="shared" si="172"/>
        <v>23000</v>
      </c>
      <c r="W340" s="215">
        <f t="shared" si="172"/>
        <v>0</v>
      </c>
      <c r="X340" s="215">
        <f t="shared" si="172"/>
        <v>0</v>
      </c>
      <c r="Y340" s="216">
        <f t="shared" si="172"/>
        <v>23000</v>
      </c>
      <c r="Z340" s="217">
        <f t="shared" si="172"/>
        <v>23000</v>
      </c>
      <c r="AA340" s="216">
        <f t="shared" si="172"/>
        <v>0</v>
      </c>
      <c r="AB340" s="216">
        <f t="shared" si="172"/>
        <v>23000</v>
      </c>
    </row>
    <row r="341" spans="1:28" ht="25.5" x14ac:dyDescent="0.2">
      <c r="A341" s="212" t="s">
        <v>54</v>
      </c>
      <c r="B341" s="58" t="s">
        <v>109</v>
      </c>
      <c r="C341" s="58" t="s">
        <v>71</v>
      </c>
      <c r="D341" s="59" t="s">
        <v>73</v>
      </c>
      <c r="E341" s="66" t="s">
        <v>88</v>
      </c>
      <c r="F341" s="66" t="s">
        <v>135</v>
      </c>
      <c r="G341" s="66" t="s">
        <v>135</v>
      </c>
      <c r="H341" s="66" t="s">
        <v>135</v>
      </c>
      <c r="I341" s="66" t="s">
        <v>139</v>
      </c>
      <c r="J341" s="67" t="s">
        <v>135</v>
      </c>
      <c r="K341" s="309" t="s">
        <v>55</v>
      </c>
      <c r="L341" s="68">
        <v>400000</v>
      </c>
      <c r="M341" s="69">
        <v>0</v>
      </c>
      <c r="N341" s="216">
        <v>0</v>
      </c>
      <c r="O341" s="216">
        <v>0</v>
      </c>
      <c r="P341" s="216">
        <v>0</v>
      </c>
      <c r="Q341" s="68">
        <v>23000</v>
      </c>
      <c r="R341" s="216">
        <v>0</v>
      </c>
      <c r="S341" s="216">
        <v>0</v>
      </c>
      <c r="T341" s="216">
        <v>0</v>
      </c>
      <c r="U341" s="68">
        <v>23000</v>
      </c>
      <c r="V341" s="216">
        <v>23000</v>
      </c>
      <c r="W341" s="215">
        <v>0</v>
      </c>
      <c r="X341" s="215">
        <v>0</v>
      </c>
      <c r="Y341" s="216">
        <v>23000</v>
      </c>
      <c r="Z341" s="217">
        <v>23000</v>
      </c>
      <c r="AA341" s="216">
        <v>0</v>
      </c>
      <c r="AB341" s="216">
        <v>23000</v>
      </c>
    </row>
    <row r="342" spans="1:28" ht="21" customHeight="1" x14ac:dyDescent="0.2">
      <c r="A342" s="212" t="s">
        <v>62</v>
      </c>
      <c r="B342" s="58" t="s">
        <v>109</v>
      </c>
      <c r="C342" s="58" t="s">
        <v>71</v>
      </c>
      <c r="D342" s="59" t="s">
        <v>73</v>
      </c>
      <c r="E342" s="70" t="s">
        <v>88</v>
      </c>
      <c r="F342" s="70" t="s">
        <v>135</v>
      </c>
      <c r="G342" s="66" t="s">
        <v>135</v>
      </c>
      <c r="H342" s="66" t="s">
        <v>135</v>
      </c>
      <c r="I342" s="71" t="s">
        <v>139</v>
      </c>
      <c r="J342" s="67" t="s">
        <v>135</v>
      </c>
      <c r="K342" s="372" t="s">
        <v>63</v>
      </c>
      <c r="L342" s="68">
        <f t="shared" ref="L342:AB342" si="173">L343</f>
        <v>1184000</v>
      </c>
      <c r="M342" s="69">
        <f t="shared" si="173"/>
        <v>0</v>
      </c>
      <c r="N342" s="216">
        <f t="shared" si="173"/>
        <v>0</v>
      </c>
      <c r="O342" s="216">
        <f t="shared" si="173"/>
        <v>0</v>
      </c>
      <c r="P342" s="216">
        <f t="shared" si="173"/>
        <v>0</v>
      </c>
      <c r="Q342" s="68">
        <f t="shared" si="173"/>
        <v>1550000</v>
      </c>
      <c r="R342" s="216">
        <f t="shared" si="173"/>
        <v>0</v>
      </c>
      <c r="S342" s="216">
        <f t="shared" si="173"/>
        <v>0</v>
      </c>
      <c r="T342" s="216">
        <f t="shared" si="173"/>
        <v>0</v>
      </c>
      <c r="U342" s="68">
        <f t="shared" si="173"/>
        <v>1550000</v>
      </c>
      <c r="V342" s="216">
        <f t="shared" si="173"/>
        <v>1550000</v>
      </c>
      <c r="W342" s="215">
        <f t="shared" si="173"/>
        <v>0</v>
      </c>
      <c r="X342" s="215">
        <f t="shared" si="173"/>
        <v>0</v>
      </c>
      <c r="Y342" s="216">
        <f t="shared" si="173"/>
        <v>1550000</v>
      </c>
      <c r="Z342" s="217">
        <f t="shared" si="173"/>
        <v>1550000</v>
      </c>
      <c r="AA342" s="216">
        <f t="shared" si="173"/>
        <v>0</v>
      </c>
      <c r="AB342" s="216">
        <f t="shared" si="173"/>
        <v>1550000</v>
      </c>
    </row>
    <row r="343" spans="1:28" ht="38.25" x14ac:dyDescent="0.2">
      <c r="A343" s="212" t="s">
        <v>183</v>
      </c>
      <c r="B343" s="58" t="s">
        <v>109</v>
      </c>
      <c r="C343" s="58" t="s">
        <v>71</v>
      </c>
      <c r="D343" s="59" t="s">
        <v>73</v>
      </c>
      <c r="E343" s="70" t="s">
        <v>88</v>
      </c>
      <c r="F343" s="70" t="s">
        <v>135</v>
      </c>
      <c r="G343" s="66" t="s">
        <v>135</v>
      </c>
      <c r="H343" s="66" t="s">
        <v>135</v>
      </c>
      <c r="I343" s="71" t="s">
        <v>139</v>
      </c>
      <c r="J343" s="67" t="s">
        <v>135</v>
      </c>
      <c r="K343" s="372" t="s">
        <v>140</v>
      </c>
      <c r="L343" s="68">
        <v>1184000</v>
      </c>
      <c r="M343" s="69">
        <v>0</v>
      </c>
      <c r="N343" s="216">
        <v>0</v>
      </c>
      <c r="O343" s="216">
        <v>0</v>
      </c>
      <c r="P343" s="216">
        <v>0</v>
      </c>
      <c r="Q343" s="68">
        <v>1550000</v>
      </c>
      <c r="R343" s="216">
        <v>0</v>
      </c>
      <c r="S343" s="216">
        <v>0</v>
      </c>
      <c r="T343" s="216">
        <v>0</v>
      </c>
      <c r="U343" s="68">
        <v>1550000</v>
      </c>
      <c r="V343" s="216">
        <v>1550000</v>
      </c>
      <c r="W343" s="215">
        <v>0</v>
      </c>
      <c r="X343" s="215">
        <v>0</v>
      </c>
      <c r="Y343" s="216">
        <v>1550000</v>
      </c>
      <c r="Z343" s="217">
        <v>1550000</v>
      </c>
      <c r="AA343" s="216">
        <v>0</v>
      </c>
      <c r="AB343" s="216">
        <v>1550000</v>
      </c>
    </row>
    <row r="344" spans="1:28" x14ac:dyDescent="0.2">
      <c r="A344" s="258" t="s">
        <v>178</v>
      </c>
      <c r="B344" s="58" t="s">
        <v>109</v>
      </c>
      <c r="C344" s="58" t="s">
        <v>71</v>
      </c>
      <c r="D344" s="59" t="s">
        <v>75</v>
      </c>
      <c r="E344" s="79"/>
      <c r="F344" s="79"/>
      <c r="G344" s="66"/>
      <c r="H344" s="66"/>
      <c r="I344" s="79"/>
      <c r="J344" s="67"/>
      <c r="K344" s="291"/>
      <c r="L344" s="68" t="e">
        <f>#REF!</f>
        <v>#REF!</v>
      </c>
      <c r="M344" s="69" t="e">
        <f>#REF!</f>
        <v>#REF!</v>
      </c>
      <c r="N344" s="216">
        <f t="shared" ref="N344:AB344" si="174">+N345</f>
        <v>0</v>
      </c>
      <c r="O344" s="216">
        <f t="shared" si="174"/>
        <v>0</v>
      </c>
      <c r="P344" s="216">
        <f t="shared" si="174"/>
        <v>21320577.66</v>
      </c>
      <c r="Q344" s="68">
        <f t="shared" si="174"/>
        <v>76405746.099999994</v>
      </c>
      <c r="R344" s="216">
        <f t="shared" si="174"/>
        <v>0</v>
      </c>
      <c r="S344" s="216">
        <f t="shared" si="174"/>
        <v>17456717.050000001</v>
      </c>
      <c r="T344" s="216">
        <f t="shared" si="174"/>
        <v>38777294.710000001</v>
      </c>
      <c r="U344" s="68">
        <f t="shared" si="174"/>
        <v>38202873.049999997</v>
      </c>
      <c r="V344" s="216">
        <f t="shared" si="174"/>
        <v>76405746.099999994</v>
      </c>
      <c r="W344" s="215">
        <f t="shared" si="174"/>
        <v>0</v>
      </c>
      <c r="X344" s="215">
        <f t="shared" si="174"/>
        <v>6427933.04</v>
      </c>
      <c r="Y344" s="216">
        <f t="shared" si="174"/>
        <v>44630806.089999996</v>
      </c>
      <c r="Z344" s="217">
        <f t="shared" si="174"/>
        <v>38202873.049999997</v>
      </c>
      <c r="AA344" s="216">
        <f t="shared" si="174"/>
        <v>6427933.04</v>
      </c>
      <c r="AB344" s="216">
        <f t="shared" si="174"/>
        <v>44630806.089999996</v>
      </c>
    </row>
    <row r="345" spans="1:28" ht="63.75" x14ac:dyDescent="0.2">
      <c r="A345" s="212" t="s">
        <v>363</v>
      </c>
      <c r="B345" s="59" t="s">
        <v>109</v>
      </c>
      <c r="C345" s="58" t="s">
        <v>71</v>
      </c>
      <c r="D345" s="59" t="s">
        <v>75</v>
      </c>
      <c r="E345" s="79" t="s">
        <v>95</v>
      </c>
      <c r="F345" s="79" t="s">
        <v>135</v>
      </c>
      <c r="G345" s="66" t="s">
        <v>135</v>
      </c>
      <c r="H345" s="66" t="s">
        <v>135</v>
      </c>
      <c r="I345" s="79" t="s">
        <v>136</v>
      </c>
      <c r="J345" s="67" t="s">
        <v>135</v>
      </c>
      <c r="K345" s="291"/>
      <c r="L345" s="68"/>
      <c r="M345" s="69"/>
      <c r="N345" s="216">
        <f>N349</f>
        <v>0</v>
      </c>
      <c r="O345" s="216">
        <f>O349</f>
        <v>0</v>
      </c>
      <c r="P345" s="216">
        <f>P349+P358+P355+P361</f>
        <v>21320577.66</v>
      </c>
      <c r="Q345" s="216">
        <f t="shared" ref="Q345:AB345" si="175">Q349+Q358+Q355+Q361</f>
        <v>76405746.099999994</v>
      </c>
      <c r="R345" s="216">
        <f t="shared" si="175"/>
        <v>0</v>
      </c>
      <c r="S345" s="216">
        <f>S349+S358+S355+S361</f>
        <v>17456717.050000001</v>
      </c>
      <c r="T345" s="216">
        <f t="shared" si="175"/>
        <v>38777294.710000001</v>
      </c>
      <c r="U345" s="217">
        <f t="shared" si="175"/>
        <v>38202873.049999997</v>
      </c>
      <c r="V345" s="216">
        <f t="shared" si="175"/>
        <v>76405746.099999994</v>
      </c>
      <c r="W345" s="216">
        <f t="shared" si="175"/>
        <v>0</v>
      </c>
      <c r="X345" s="215">
        <f t="shared" si="175"/>
        <v>6427933.04</v>
      </c>
      <c r="Y345" s="216">
        <f t="shared" si="175"/>
        <v>44630806.089999996</v>
      </c>
      <c r="Z345" s="217">
        <f t="shared" si="175"/>
        <v>38202873.049999997</v>
      </c>
      <c r="AA345" s="216">
        <f t="shared" si="175"/>
        <v>6427933.04</v>
      </c>
      <c r="AB345" s="216">
        <f t="shared" si="175"/>
        <v>44630806.089999996</v>
      </c>
    </row>
    <row r="346" spans="1:28" ht="35.25" hidden="1" customHeight="1" x14ac:dyDescent="0.2">
      <c r="A346" s="212" t="s">
        <v>254</v>
      </c>
      <c r="B346" s="59" t="s">
        <v>109</v>
      </c>
      <c r="C346" s="58" t="s">
        <v>71</v>
      </c>
      <c r="D346" s="59" t="s">
        <v>75</v>
      </c>
      <c r="E346" s="79" t="s">
        <v>241</v>
      </c>
      <c r="F346" s="79" t="s">
        <v>135</v>
      </c>
      <c r="G346" s="66" t="s">
        <v>135</v>
      </c>
      <c r="H346" s="66" t="s">
        <v>135</v>
      </c>
      <c r="I346" s="79" t="s">
        <v>253</v>
      </c>
      <c r="J346" s="67" t="s">
        <v>135</v>
      </c>
      <c r="K346" s="291"/>
      <c r="L346" s="68"/>
      <c r="M346" s="69"/>
      <c r="N346" s="216">
        <f t="shared" ref="N346:AB347" si="176">N347</f>
        <v>0</v>
      </c>
      <c r="O346" s="216">
        <f t="shared" si="176"/>
        <v>0</v>
      </c>
      <c r="P346" s="216">
        <f t="shared" si="176"/>
        <v>0</v>
      </c>
      <c r="Q346" s="68">
        <f t="shared" si="176"/>
        <v>0</v>
      </c>
      <c r="R346" s="216">
        <f t="shared" si="176"/>
        <v>0</v>
      </c>
      <c r="S346" s="216">
        <f t="shared" si="176"/>
        <v>0</v>
      </c>
      <c r="T346" s="216">
        <f t="shared" si="176"/>
        <v>0</v>
      </c>
      <c r="U346" s="217">
        <f t="shared" si="176"/>
        <v>0</v>
      </c>
      <c r="V346" s="217">
        <f t="shared" si="176"/>
        <v>0</v>
      </c>
      <c r="W346" s="215">
        <f t="shared" si="176"/>
        <v>0</v>
      </c>
      <c r="X346" s="215">
        <f t="shared" si="176"/>
        <v>0</v>
      </c>
      <c r="Y346" s="216">
        <f t="shared" si="176"/>
        <v>0</v>
      </c>
      <c r="Z346" s="217">
        <f t="shared" si="176"/>
        <v>0</v>
      </c>
      <c r="AA346" s="216">
        <f t="shared" si="176"/>
        <v>0</v>
      </c>
      <c r="AB346" s="216">
        <f t="shared" si="176"/>
        <v>0</v>
      </c>
    </row>
    <row r="347" spans="1:28" ht="25.5" hidden="1" x14ac:dyDescent="0.2">
      <c r="A347" s="212" t="s">
        <v>52</v>
      </c>
      <c r="B347" s="59" t="s">
        <v>109</v>
      </c>
      <c r="C347" s="58" t="s">
        <v>71</v>
      </c>
      <c r="D347" s="59" t="s">
        <v>75</v>
      </c>
      <c r="E347" s="79" t="s">
        <v>241</v>
      </c>
      <c r="F347" s="79" t="s">
        <v>135</v>
      </c>
      <c r="G347" s="66" t="s">
        <v>135</v>
      </c>
      <c r="H347" s="66" t="s">
        <v>135</v>
      </c>
      <c r="I347" s="79" t="s">
        <v>253</v>
      </c>
      <c r="J347" s="67" t="s">
        <v>135</v>
      </c>
      <c r="K347" s="291" t="s">
        <v>53</v>
      </c>
      <c r="L347" s="68"/>
      <c r="M347" s="69"/>
      <c r="N347" s="216">
        <f t="shared" si="176"/>
        <v>0</v>
      </c>
      <c r="O347" s="216">
        <f t="shared" si="176"/>
        <v>0</v>
      </c>
      <c r="P347" s="216">
        <f t="shared" si="176"/>
        <v>0</v>
      </c>
      <c r="Q347" s="68">
        <f t="shared" si="176"/>
        <v>0</v>
      </c>
      <c r="R347" s="216">
        <f t="shared" si="176"/>
        <v>0</v>
      </c>
      <c r="S347" s="216">
        <f t="shared" si="176"/>
        <v>0</v>
      </c>
      <c r="T347" s="216">
        <f t="shared" si="176"/>
        <v>0</v>
      </c>
      <c r="U347" s="217">
        <f t="shared" si="176"/>
        <v>0</v>
      </c>
      <c r="V347" s="217">
        <f t="shared" si="176"/>
        <v>0</v>
      </c>
      <c r="W347" s="215">
        <f t="shared" si="176"/>
        <v>0</v>
      </c>
      <c r="X347" s="215">
        <f t="shared" si="176"/>
        <v>0</v>
      </c>
      <c r="Y347" s="216">
        <f t="shared" si="176"/>
        <v>0</v>
      </c>
      <c r="Z347" s="217">
        <f t="shared" si="176"/>
        <v>0</v>
      </c>
      <c r="AA347" s="216">
        <f t="shared" si="176"/>
        <v>0</v>
      </c>
      <c r="AB347" s="216">
        <f t="shared" si="176"/>
        <v>0</v>
      </c>
    </row>
    <row r="348" spans="1:28" ht="25.5" hidden="1" x14ac:dyDescent="0.2">
      <c r="A348" s="212" t="s">
        <v>54</v>
      </c>
      <c r="B348" s="59" t="s">
        <v>109</v>
      </c>
      <c r="C348" s="58" t="s">
        <v>71</v>
      </c>
      <c r="D348" s="59" t="s">
        <v>75</v>
      </c>
      <c r="E348" s="79" t="s">
        <v>241</v>
      </c>
      <c r="F348" s="79" t="s">
        <v>135</v>
      </c>
      <c r="G348" s="66" t="s">
        <v>135</v>
      </c>
      <c r="H348" s="66" t="s">
        <v>135</v>
      </c>
      <c r="I348" s="79" t="s">
        <v>253</v>
      </c>
      <c r="J348" s="67" t="s">
        <v>135</v>
      </c>
      <c r="K348" s="291" t="s">
        <v>55</v>
      </c>
      <c r="L348" s="68"/>
      <c r="M348" s="69"/>
      <c r="N348" s="216">
        <v>0</v>
      </c>
      <c r="O348" s="216">
        <v>0</v>
      </c>
      <c r="P348" s="216">
        <v>0</v>
      </c>
      <c r="Q348" s="68">
        <v>0</v>
      </c>
      <c r="R348" s="216">
        <v>0</v>
      </c>
      <c r="S348" s="216">
        <v>0</v>
      </c>
      <c r="T348" s="216">
        <v>0</v>
      </c>
      <c r="U348" s="217">
        <v>0</v>
      </c>
      <c r="V348" s="217">
        <v>0</v>
      </c>
      <c r="W348" s="215">
        <v>0</v>
      </c>
      <c r="X348" s="215">
        <v>0</v>
      </c>
      <c r="Y348" s="216">
        <v>0</v>
      </c>
      <c r="Z348" s="217">
        <v>0</v>
      </c>
      <c r="AA348" s="216">
        <v>0</v>
      </c>
      <c r="AB348" s="216">
        <v>0</v>
      </c>
    </row>
    <row r="349" spans="1:28" ht="25.5" x14ac:dyDescent="0.2">
      <c r="A349" s="212" t="s">
        <v>242</v>
      </c>
      <c r="B349" s="59" t="s">
        <v>109</v>
      </c>
      <c r="C349" s="58" t="s">
        <v>71</v>
      </c>
      <c r="D349" s="59" t="s">
        <v>75</v>
      </c>
      <c r="E349" s="79" t="s">
        <v>95</v>
      </c>
      <c r="F349" s="79" t="s">
        <v>135</v>
      </c>
      <c r="G349" s="66" t="s">
        <v>135</v>
      </c>
      <c r="H349" s="66" t="s">
        <v>135</v>
      </c>
      <c r="I349" s="79" t="s">
        <v>243</v>
      </c>
      <c r="J349" s="67" t="s">
        <v>135</v>
      </c>
      <c r="K349" s="260"/>
      <c r="L349" s="68">
        <f t="shared" ref="L349:AB359" si="177">L350</f>
        <v>9973757.5099999998</v>
      </c>
      <c r="M349" s="69">
        <f t="shared" si="177"/>
        <v>0</v>
      </c>
      <c r="N349" s="216">
        <f t="shared" si="177"/>
        <v>0</v>
      </c>
      <c r="O349" s="215">
        <f t="shared" si="177"/>
        <v>0</v>
      </c>
      <c r="P349" s="216">
        <f t="shared" si="177"/>
        <v>3114485.99</v>
      </c>
      <c r="Q349" s="68">
        <f t="shared" si="177"/>
        <v>38202873.049999997</v>
      </c>
      <c r="R349" s="215">
        <f t="shared" si="177"/>
        <v>0</v>
      </c>
      <c r="S349" s="216">
        <f t="shared" si="177"/>
        <v>-1507142.9100000001</v>
      </c>
      <c r="T349" s="216">
        <f t="shared" si="177"/>
        <v>1607343.08</v>
      </c>
      <c r="U349" s="217">
        <f t="shared" si="177"/>
        <v>38202873.049999997</v>
      </c>
      <c r="V349" s="217">
        <f t="shared" si="177"/>
        <v>38202873.049999997</v>
      </c>
      <c r="W349" s="215">
        <f t="shared" si="177"/>
        <v>0</v>
      </c>
      <c r="X349" s="215">
        <f t="shared" si="177"/>
        <v>0</v>
      </c>
      <c r="Y349" s="216">
        <f t="shared" si="177"/>
        <v>38202873.049999997</v>
      </c>
      <c r="Z349" s="217">
        <f t="shared" si="177"/>
        <v>38202873.049999997</v>
      </c>
      <c r="AA349" s="216">
        <f t="shared" si="177"/>
        <v>0</v>
      </c>
      <c r="AB349" s="216">
        <f t="shared" si="177"/>
        <v>38202873.049999997</v>
      </c>
    </row>
    <row r="350" spans="1:28" ht="25.5" x14ac:dyDescent="0.2">
      <c r="A350" s="212" t="s">
        <v>52</v>
      </c>
      <c r="B350" s="59" t="s">
        <v>109</v>
      </c>
      <c r="C350" s="58" t="s">
        <v>71</v>
      </c>
      <c r="D350" s="59" t="s">
        <v>75</v>
      </c>
      <c r="E350" s="79" t="s">
        <v>95</v>
      </c>
      <c r="F350" s="79" t="s">
        <v>135</v>
      </c>
      <c r="G350" s="66" t="s">
        <v>135</v>
      </c>
      <c r="H350" s="66" t="s">
        <v>135</v>
      </c>
      <c r="I350" s="79" t="s">
        <v>243</v>
      </c>
      <c r="J350" s="67" t="s">
        <v>135</v>
      </c>
      <c r="K350" s="260" t="s">
        <v>53</v>
      </c>
      <c r="L350" s="68">
        <f t="shared" si="177"/>
        <v>9973757.5099999998</v>
      </c>
      <c r="M350" s="69">
        <f t="shared" si="177"/>
        <v>0</v>
      </c>
      <c r="N350" s="216">
        <f t="shared" si="177"/>
        <v>0</v>
      </c>
      <c r="O350" s="215">
        <f t="shared" si="177"/>
        <v>0</v>
      </c>
      <c r="P350" s="216">
        <f t="shared" si="177"/>
        <v>3114485.99</v>
      </c>
      <c r="Q350" s="68">
        <f t="shared" si="177"/>
        <v>38202873.049999997</v>
      </c>
      <c r="R350" s="215">
        <f t="shared" si="177"/>
        <v>0</v>
      </c>
      <c r="S350" s="216">
        <f t="shared" si="177"/>
        <v>-1507142.9100000001</v>
      </c>
      <c r="T350" s="216">
        <f t="shared" si="177"/>
        <v>1607343.08</v>
      </c>
      <c r="U350" s="217">
        <f t="shared" si="177"/>
        <v>38202873.049999997</v>
      </c>
      <c r="V350" s="217">
        <f t="shared" si="177"/>
        <v>38202873.049999997</v>
      </c>
      <c r="W350" s="215">
        <f t="shared" si="177"/>
        <v>0</v>
      </c>
      <c r="X350" s="215">
        <f t="shared" si="177"/>
        <v>0</v>
      </c>
      <c r="Y350" s="216">
        <f t="shared" si="177"/>
        <v>38202873.049999997</v>
      </c>
      <c r="Z350" s="217">
        <f t="shared" si="177"/>
        <v>38202873.049999997</v>
      </c>
      <c r="AA350" s="216">
        <f t="shared" si="177"/>
        <v>0</v>
      </c>
      <c r="AB350" s="216">
        <f t="shared" si="177"/>
        <v>38202873.049999997</v>
      </c>
    </row>
    <row r="351" spans="1:28" ht="25.5" x14ac:dyDescent="0.2">
      <c r="A351" s="212" t="s">
        <v>54</v>
      </c>
      <c r="B351" s="59" t="s">
        <v>109</v>
      </c>
      <c r="C351" s="58" t="s">
        <v>71</v>
      </c>
      <c r="D351" s="59" t="s">
        <v>75</v>
      </c>
      <c r="E351" s="79" t="s">
        <v>95</v>
      </c>
      <c r="F351" s="79" t="s">
        <v>135</v>
      </c>
      <c r="G351" s="66" t="s">
        <v>135</v>
      </c>
      <c r="H351" s="66" t="s">
        <v>135</v>
      </c>
      <c r="I351" s="79" t="s">
        <v>243</v>
      </c>
      <c r="J351" s="67" t="s">
        <v>135</v>
      </c>
      <c r="K351" s="260" t="s">
        <v>55</v>
      </c>
      <c r="L351" s="68">
        <v>9973757.5099999998</v>
      </c>
      <c r="M351" s="69">
        <v>0</v>
      </c>
      <c r="N351" s="216">
        <v>0</v>
      </c>
      <c r="O351" s="215">
        <v>0</v>
      </c>
      <c r="P351" s="216">
        <v>3114485.99</v>
      </c>
      <c r="Q351" s="68">
        <v>38202873.049999997</v>
      </c>
      <c r="R351" s="215">
        <v>0</v>
      </c>
      <c r="S351" s="216">
        <f>1607343.08-3114485.99</f>
        <v>-1507142.9100000001</v>
      </c>
      <c r="T351" s="216">
        <f>S351+P351</f>
        <v>1607343.08</v>
      </c>
      <c r="U351" s="217">
        <v>38202873.049999997</v>
      </c>
      <c r="V351" s="217">
        <v>38202873.049999997</v>
      </c>
      <c r="W351" s="215">
        <v>0</v>
      </c>
      <c r="X351" s="215">
        <v>0</v>
      </c>
      <c r="Y351" s="216">
        <v>38202873.049999997</v>
      </c>
      <c r="Z351" s="217">
        <v>38202873.049999997</v>
      </c>
      <c r="AA351" s="216">
        <v>0</v>
      </c>
      <c r="AB351" s="216">
        <v>38202873.049999997</v>
      </c>
    </row>
    <row r="352" spans="1:28" ht="25.5" hidden="1" x14ac:dyDescent="0.2">
      <c r="A352" s="212" t="s">
        <v>260</v>
      </c>
      <c r="B352" s="59" t="s">
        <v>109</v>
      </c>
      <c r="C352" s="58" t="s">
        <v>71</v>
      </c>
      <c r="D352" s="59" t="s">
        <v>75</v>
      </c>
      <c r="E352" s="79" t="s">
        <v>241</v>
      </c>
      <c r="F352" s="79" t="s">
        <v>135</v>
      </c>
      <c r="G352" s="66" t="s">
        <v>135</v>
      </c>
      <c r="H352" s="66" t="s">
        <v>135</v>
      </c>
      <c r="I352" s="79" t="s">
        <v>259</v>
      </c>
      <c r="J352" s="67" t="s">
        <v>135</v>
      </c>
      <c r="K352" s="260"/>
      <c r="L352" s="68">
        <f t="shared" si="177"/>
        <v>9973757.5099999998</v>
      </c>
      <c r="M352" s="69">
        <f t="shared" si="177"/>
        <v>0</v>
      </c>
      <c r="N352" s="216">
        <f t="shared" si="177"/>
        <v>0</v>
      </c>
      <c r="O352" s="215">
        <f t="shared" si="177"/>
        <v>0</v>
      </c>
      <c r="P352" s="216">
        <f t="shared" si="177"/>
        <v>0</v>
      </c>
      <c r="Q352" s="68">
        <f t="shared" si="177"/>
        <v>0</v>
      </c>
      <c r="R352" s="215">
        <f t="shared" si="177"/>
        <v>0</v>
      </c>
      <c r="S352" s="216">
        <f t="shared" si="177"/>
        <v>0</v>
      </c>
      <c r="T352" s="216">
        <f t="shared" si="177"/>
        <v>0</v>
      </c>
      <c r="U352" s="217">
        <f t="shared" si="177"/>
        <v>0</v>
      </c>
      <c r="V352" s="217">
        <f t="shared" si="177"/>
        <v>0</v>
      </c>
      <c r="W352" s="215">
        <f t="shared" si="177"/>
        <v>0</v>
      </c>
      <c r="X352" s="215">
        <f t="shared" si="177"/>
        <v>0</v>
      </c>
      <c r="Y352" s="216">
        <f t="shared" si="177"/>
        <v>0</v>
      </c>
      <c r="Z352" s="217">
        <f t="shared" si="177"/>
        <v>0</v>
      </c>
      <c r="AA352" s="216">
        <f t="shared" si="177"/>
        <v>0</v>
      </c>
      <c r="AB352" s="216">
        <f t="shared" si="177"/>
        <v>0</v>
      </c>
    </row>
    <row r="353" spans="1:28" ht="25.5" hidden="1" x14ac:dyDescent="0.2">
      <c r="A353" s="212" t="s">
        <v>52</v>
      </c>
      <c r="B353" s="59" t="s">
        <v>109</v>
      </c>
      <c r="C353" s="58" t="s">
        <v>71</v>
      </c>
      <c r="D353" s="59" t="s">
        <v>75</v>
      </c>
      <c r="E353" s="79" t="s">
        <v>241</v>
      </c>
      <c r="F353" s="79" t="s">
        <v>135</v>
      </c>
      <c r="G353" s="66" t="s">
        <v>135</v>
      </c>
      <c r="H353" s="66" t="s">
        <v>135</v>
      </c>
      <c r="I353" s="79" t="s">
        <v>259</v>
      </c>
      <c r="J353" s="67" t="s">
        <v>135</v>
      </c>
      <c r="K353" s="260" t="s">
        <v>53</v>
      </c>
      <c r="L353" s="68">
        <f t="shared" si="177"/>
        <v>9973757.5099999998</v>
      </c>
      <c r="M353" s="69">
        <f t="shared" si="177"/>
        <v>0</v>
      </c>
      <c r="N353" s="216">
        <f t="shared" si="177"/>
        <v>0</v>
      </c>
      <c r="O353" s="215">
        <f t="shared" si="177"/>
        <v>0</v>
      </c>
      <c r="P353" s="216">
        <f t="shared" si="177"/>
        <v>0</v>
      </c>
      <c r="Q353" s="68">
        <f t="shared" si="177"/>
        <v>0</v>
      </c>
      <c r="R353" s="215">
        <f t="shared" si="177"/>
        <v>0</v>
      </c>
      <c r="S353" s="216">
        <f t="shared" si="177"/>
        <v>0</v>
      </c>
      <c r="T353" s="216">
        <f t="shared" si="177"/>
        <v>0</v>
      </c>
      <c r="U353" s="217">
        <f t="shared" si="177"/>
        <v>0</v>
      </c>
      <c r="V353" s="217">
        <f t="shared" si="177"/>
        <v>0</v>
      </c>
      <c r="W353" s="215">
        <f t="shared" si="177"/>
        <v>0</v>
      </c>
      <c r="X353" s="215">
        <f t="shared" si="177"/>
        <v>0</v>
      </c>
      <c r="Y353" s="216">
        <f t="shared" si="177"/>
        <v>0</v>
      </c>
      <c r="Z353" s="217">
        <f t="shared" si="177"/>
        <v>0</v>
      </c>
      <c r="AA353" s="216">
        <f t="shared" si="177"/>
        <v>0</v>
      </c>
      <c r="AB353" s="216">
        <f t="shared" si="177"/>
        <v>0</v>
      </c>
    </row>
    <row r="354" spans="1:28" ht="25.5" hidden="1" x14ac:dyDescent="0.2">
      <c r="A354" s="212" t="s">
        <v>54</v>
      </c>
      <c r="B354" s="59" t="s">
        <v>109</v>
      </c>
      <c r="C354" s="58" t="s">
        <v>71</v>
      </c>
      <c r="D354" s="59" t="s">
        <v>75</v>
      </c>
      <c r="E354" s="79" t="s">
        <v>241</v>
      </c>
      <c r="F354" s="79" t="s">
        <v>135</v>
      </c>
      <c r="G354" s="66" t="s">
        <v>135</v>
      </c>
      <c r="H354" s="66" t="s">
        <v>135</v>
      </c>
      <c r="I354" s="79" t="s">
        <v>259</v>
      </c>
      <c r="J354" s="67" t="s">
        <v>135</v>
      </c>
      <c r="K354" s="260" t="s">
        <v>55</v>
      </c>
      <c r="L354" s="68">
        <v>9973757.5099999998</v>
      </c>
      <c r="M354" s="69">
        <v>0</v>
      </c>
      <c r="N354" s="216">
        <v>0</v>
      </c>
      <c r="O354" s="215">
        <v>0</v>
      </c>
      <c r="P354" s="216">
        <v>0</v>
      </c>
      <c r="Q354" s="68">
        <v>0</v>
      </c>
      <c r="R354" s="215">
        <v>0</v>
      </c>
      <c r="S354" s="216">
        <v>0</v>
      </c>
      <c r="T354" s="216">
        <v>0</v>
      </c>
      <c r="U354" s="217">
        <v>0</v>
      </c>
      <c r="V354" s="217">
        <v>0</v>
      </c>
      <c r="W354" s="215">
        <v>0</v>
      </c>
      <c r="X354" s="215">
        <v>0</v>
      </c>
      <c r="Y354" s="216">
        <v>0</v>
      </c>
      <c r="Z354" s="217">
        <v>0</v>
      </c>
      <c r="AA354" s="216">
        <v>0</v>
      </c>
      <c r="AB354" s="216">
        <v>0</v>
      </c>
    </row>
    <row r="355" spans="1:28" ht="51" x14ac:dyDescent="0.2">
      <c r="A355" s="212" t="s">
        <v>417</v>
      </c>
      <c r="B355" s="59" t="s">
        <v>109</v>
      </c>
      <c r="C355" s="59" t="s">
        <v>71</v>
      </c>
      <c r="D355" s="59" t="s">
        <v>75</v>
      </c>
      <c r="E355" s="77" t="s">
        <v>95</v>
      </c>
      <c r="F355" s="79" t="s">
        <v>135</v>
      </c>
      <c r="G355" s="66" t="s">
        <v>135</v>
      </c>
      <c r="H355" s="66" t="s">
        <v>135</v>
      </c>
      <c r="I355" s="79" t="s">
        <v>400</v>
      </c>
      <c r="J355" s="67" t="s">
        <v>135</v>
      </c>
      <c r="K355" s="260"/>
      <c r="L355" s="68"/>
      <c r="M355" s="69"/>
      <c r="N355" s="502">
        <f t="shared" ref="N355:V356" si="178">N356</f>
        <v>6642350.8799999999</v>
      </c>
      <c r="O355" s="69">
        <f t="shared" si="178"/>
        <v>0</v>
      </c>
      <c r="P355" s="216">
        <f t="shared" si="178"/>
        <v>8161651.6699999999</v>
      </c>
      <c r="Q355" s="498">
        <f t="shared" si="178"/>
        <v>0</v>
      </c>
      <c r="R355" s="69">
        <f t="shared" si="178"/>
        <v>0</v>
      </c>
      <c r="S355" s="216">
        <f t="shared" si="178"/>
        <v>0</v>
      </c>
      <c r="T355" s="216">
        <f t="shared" si="178"/>
        <v>8161651.6699999999</v>
      </c>
      <c r="U355" s="217">
        <f t="shared" si="178"/>
        <v>0</v>
      </c>
      <c r="V355" s="498">
        <f t="shared" si="178"/>
        <v>0</v>
      </c>
      <c r="W355" s="215"/>
      <c r="X355" s="215">
        <f t="shared" ref="X355:AB356" si="179">X356</f>
        <v>6427933.04</v>
      </c>
      <c r="Y355" s="216">
        <f t="shared" si="179"/>
        <v>6427933.04</v>
      </c>
      <c r="Z355" s="217">
        <f t="shared" si="179"/>
        <v>0</v>
      </c>
      <c r="AA355" s="216">
        <f t="shared" si="179"/>
        <v>6427933.04</v>
      </c>
      <c r="AB355" s="217">
        <f t="shared" si="179"/>
        <v>6427933.04</v>
      </c>
    </row>
    <row r="356" spans="1:28" ht="25.5" x14ac:dyDescent="0.2">
      <c r="A356" s="212" t="s">
        <v>52</v>
      </c>
      <c r="B356" s="59" t="s">
        <v>109</v>
      </c>
      <c r="C356" s="59" t="s">
        <v>71</v>
      </c>
      <c r="D356" s="59" t="s">
        <v>75</v>
      </c>
      <c r="E356" s="77" t="s">
        <v>95</v>
      </c>
      <c r="F356" s="79" t="s">
        <v>135</v>
      </c>
      <c r="G356" s="66" t="s">
        <v>135</v>
      </c>
      <c r="H356" s="66" t="s">
        <v>135</v>
      </c>
      <c r="I356" s="79" t="s">
        <v>400</v>
      </c>
      <c r="J356" s="67" t="s">
        <v>135</v>
      </c>
      <c r="K356" s="260" t="s">
        <v>53</v>
      </c>
      <c r="L356" s="68"/>
      <c r="M356" s="69"/>
      <c r="N356" s="502">
        <f t="shared" si="178"/>
        <v>6642350.8799999999</v>
      </c>
      <c r="O356" s="69">
        <f t="shared" si="178"/>
        <v>0</v>
      </c>
      <c r="P356" s="216">
        <f t="shared" si="178"/>
        <v>8161651.6699999999</v>
      </c>
      <c r="Q356" s="498">
        <f t="shared" si="178"/>
        <v>0</v>
      </c>
      <c r="R356" s="69">
        <f t="shared" si="178"/>
        <v>0</v>
      </c>
      <c r="S356" s="216">
        <f t="shared" si="178"/>
        <v>0</v>
      </c>
      <c r="T356" s="216">
        <f t="shared" si="178"/>
        <v>8161651.6699999999</v>
      </c>
      <c r="U356" s="217">
        <f t="shared" si="178"/>
        <v>0</v>
      </c>
      <c r="V356" s="498">
        <f t="shared" si="178"/>
        <v>0</v>
      </c>
      <c r="W356" s="215"/>
      <c r="X356" s="215">
        <f t="shared" si="179"/>
        <v>6427933.04</v>
      </c>
      <c r="Y356" s="216">
        <f t="shared" si="179"/>
        <v>6427933.04</v>
      </c>
      <c r="Z356" s="217">
        <f t="shared" si="179"/>
        <v>0</v>
      </c>
      <c r="AA356" s="216">
        <f t="shared" si="179"/>
        <v>6427933.04</v>
      </c>
      <c r="AB356" s="217">
        <f t="shared" si="179"/>
        <v>6427933.04</v>
      </c>
    </row>
    <row r="357" spans="1:28" ht="25.5" x14ac:dyDescent="0.2">
      <c r="A357" s="362" t="s">
        <v>54</v>
      </c>
      <c r="B357" s="76" t="s">
        <v>109</v>
      </c>
      <c r="C357" s="59" t="s">
        <v>71</v>
      </c>
      <c r="D357" s="59" t="s">
        <v>75</v>
      </c>
      <c r="E357" s="77" t="s">
        <v>95</v>
      </c>
      <c r="F357" s="79" t="s">
        <v>135</v>
      </c>
      <c r="G357" s="66" t="s">
        <v>135</v>
      </c>
      <c r="H357" s="66" t="s">
        <v>135</v>
      </c>
      <c r="I357" s="79" t="s">
        <v>400</v>
      </c>
      <c r="J357" s="67" t="s">
        <v>135</v>
      </c>
      <c r="K357" s="260" t="s">
        <v>55</v>
      </c>
      <c r="L357" s="68"/>
      <c r="M357" s="69"/>
      <c r="N357" s="502">
        <v>6642350.8799999999</v>
      </c>
      <c r="O357" s="69">
        <v>0</v>
      </c>
      <c r="P357" s="216">
        <v>8161651.6699999999</v>
      </c>
      <c r="Q357" s="498">
        <v>0</v>
      </c>
      <c r="R357" s="69">
        <v>0</v>
      </c>
      <c r="S357" s="215">
        <v>0</v>
      </c>
      <c r="T357" s="216">
        <f>S357+P357</f>
        <v>8161651.6699999999</v>
      </c>
      <c r="U357" s="217">
        <v>0</v>
      </c>
      <c r="V357" s="498">
        <v>0</v>
      </c>
      <c r="W357" s="215"/>
      <c r="X357" s="215">
        <v>6427933.04</v>
      </c>
      <c r="Y357" s="216">
        <f>X357</f>
        <v>6427933.04</v>
      </c>
      <c r="Z357" s="217">
        <v>0</v>
      </c>
      <c r="AA357" s="216">
        <v>6427933.04</v>
      </c>
      <c r="AB357" s="217">
        <f>AA357</f>
        <v>6427933.04</v>
      </c>
    </row>
    <row r="358" spans="1:28" ht="38.25" x14ac:dyDescent="0.2">
      <c r="A358" s="362" t="s">
        <v>347</v>
      </c>
      <c r="B358" s="76" t="s">
        <v>109</v>
      </c>
      <c r="C358" s="58" t="s">
        <v>71</v>
      </c>
      <c r="D358" s="59" t="s">
        <v>75</v>
      </c>
      <c r="E358" s="79" t="s">
        <v>95</v>
      </c>
      <c r="F358" s="79" t="s">
        <v>135</v>
      </c>
      <c r="G358" s="66" t="s">
        <v>135</v>
      </c>
      <c r="H358" s="66" t="s">
        <v>135</v>
      </c>
      <c r="I358" s="66" t="s">
        <v>389</v>
      </c>
      <c r="J358" s="67" t="s">
        <v>135</v>
      </c>
      <c r="K358" s="260"/>
      <c r="L358" s="68">
        <f t="shared" si="177"/>
        <v>9973757.5099999998</v>
      </c>
      <c r="M358" s="69">
        <f t="shared" si="177"/>
        <v>0</v>
      </c>
      <c r="N358" s="216">
        <f t="shared" si="177"/>
        <v>0</v>
      </c>
      <c r="O358" s="215">
        <f t="shared" si="177"/>
        <v>0</v>
      </c>
      <c r="P358" s="216">
        <f t="shared" si="177"/>
        <v>10044440</v>
      </c>
      <c r="Q358" s="68">
        <f t="shared" si="177"/>
        <v>38202873.049999997</v>
      </c>
      <c r="R358" s="215">
        <f t="shared" si="177"/>
        <v>0</v>
      </c>
      <c r="S358" s="215">
        <f t="shared" si="177"/>
        <v>3391430</v>
      </c>
      <c r="T358" s="216">
        <f t="shared" si="177"/>
        <v>13435870</v>
      </c>
      <c r="U358" s="217">
        <f t="shared" si="177"/>
        <v>0</v>
      </c>
      <c r="V358" s="217">
        <f t="shared" si="177"/>
        <v>38202873.049999997</v>
      </c>
      <c r="W358" s="215">
        <f t="shared" si="177"/>
        <v>0</v>
      </c>
      <c r="X358" s="215">
        <f t="shared" si="177"/>
        <v>0</v>
      </c>
      <c r="Y358" s="216">
        <f t="shared" si="177"/>
        <v>0</v>
      </c>
      <c r="Z358" s="217">
        <f t="shared" si="177"/>
        <v>0</v>
      </c>
      <c r="AA358" s="216">
        <f t="shared" si="177"/>
        <v>0</v>
      </c>
      <c r="AB358" s="217">
        <f t="shared" si="177"/>
        <v>0</v>
      </c>
    </row>
    <row r="359" spans="1:28" ht="25.5" x14ac:dyDescent="0.2">
      <c r="A359" s="362" t="s">
        <v>52</v>
      </c>
      <c r="B359" s="76" t="s">
        <v>109</v>
      </c>
      <c r="C359" s="58" t="s">
        <v>71</v>
      </c>
      <c r="D359" s="59" t="s">
        <v>75</v>
      </c>
      <c r="E359" s="79" t="s">
        <v>95</v>
      </c>
      <c r="F359" s="79" t="s">
        <v>135</v>
      </c>
      <c r="G359" s="66" t="s">
        <v>135</v>
      </c>
      <c r="H359" s="66" t="s">
        <v>135</v>
      </c>
      <c r="I359" s="66" t="s">
        <v>389</v>
      </c>
      <c r="J359" s="67" t="s">
        <v>135</v>
      </c>
      <c r="K359" s="260" t="s">
        <v>53</v>
      </c>
      <c r="L359" s="68">
        <f t="shared" si="177"/>
        <v>9973757.5099999998</v>
      </c>
      <c r="M359" s="69">
        <f t="shared" si="177"/>
        <v>0</v>
      </c>
      <c r="N359" s="216">
        <f t="shared" si="177"/>
        <v>0</v>
      </c>
      <c r="O359" s="215">
        <f t="shared" si="177"/>
        <v>0</v>
      </c>
      <c r="P359" s="216">
        <f t="shared" si="177"/>
        <v>10044440</v>
      </c>
      <c r="Q359" s="68">
        <f t="shared" si="177"/>
        <v>38202873.049999997</v>
      </c>
      <c r="R359" s="215">
        <f t="shared" si="177"/>
        <v>0</v>
      </c>
      <c r="S359" s="216">
        <f t="shared" si="177"/>
        <v>3391430</v>
      </c>
      <c r="T359" s="216">
        <f t="shared" si="177"/>
        <v>13435870</v>
      </c>
      <c r="U359" s="217">
        <f t="shared" si="177"/>
        <v>0</v>
      </c>
      <c r="V359" s="217">
        <f t="shared" si="177"/>
        <v>38202873.049999997</v>
      </c>
      <c r="W359" s="215">
        <f t="shared" si="177"/>
        <v>0</v>
      </c>
      <c r="X359" s="215">
        <f t="shared" si="177"/>
        <v>0</v>
      </c>
      <c r="Y359" s="216">
        <f t="shared" si="177"/>
        <v>0</v>
      </c>
      <c r="Z359" s="217">
        <f t="shared" si="177"/>
        <v>0</v>
      </c>
      <c r="AA359" s="216">
        <f t="shared" si="177"/>
        <v>0</v>
      </c>
      <c r="AB359" s="217">
        <f t="shared" si="177"/>
        <v>0</v>
      </c>
    </row>
    <row r="360" spans="1:28" ht="25.5" x14ac:dyDescent="0.2">
      <c r="A360" s="362" t="s">
        <v>54</v>
      </c>
      <c r="B360" s="76" t="s">
        <v>109</v>
      </c>
      <c r="C360" s="58" t="s">
        <v>71</v>
      </c>
      <c r="D360" s="59" t="s">
        <v>75</v>
      </c>
      <c r="E360" s="79" t="s">
        <v>95</v>
      </c>
      <c r="F360" s="79" t="s">
        <v>135</v>
      </c>
      <c r="G360" s="66" t="s">
        <v>135</v>
      </c>
      <c r="H360" s="66" t="s">
        <v>135</v>
      </c>
      <c r="I360" s="66" t="s">
        <v>389</v>
      </c>
      <c r="J360" s="67" t="s">
        <v>135</v>
      </c>
      <c r="K360" s="260" t="s">
        <v>55</v>
      </c>
      <c r="L360" s="68">
        <v>9973757.5099999998</v>
      </c>
      <c r="M360" s="69">
        <v>0</v>
      </c>
      <c r="N360" s="216">
        <v>0</v>
      </c>
      <c r="O360" s="215">
        <v>0</v>
      </c>
      <c r="P360" s="216">
        <v>10044440</v>
      </c>
      <c r="Q360" s="68">
        <v>38202873.049999997</v>
      </c>
      <c r="R360" s="215">
        <v>0</v>
      </c>
      <c r="S360" s="216">
        <v>3391430</v>
      </c>
      <c r="T360" s="216">
        <f>S360+P360</f>
        <v>13435870</v>
      </c>
      <c r="U360" s="217">
        <v>0</v>
      </c>
      <c r="V360" s="217">
        <v>38202873.049999997</v>
      </c>
      <c r="W360" s="215">
        <v>0</v>
      </c>
      <c r="X360" s="215">
        <v>0</v>
      </c>
      <c r="Y360" s="216">
        <v>0</v>
      </c>
      <c r="Z360" s="217">
        <v>0</v>
      </c>
      <c r="AA360" s="216">
        <v>0</v>
      </c>
      <c r="AB360" s="217">
        <v>0</v>
      </c>
    </row>
    <row r="361" spans="1:28" ht="63" customHeight="1" x14ac:dyDescent="0.2">
      <c r="A361" s="362" t="s">
        <v>456</v>
      </c>
      <c r="B361" s="76" t="s">
        <v>109</v>
      </c>
      <c r="C361" s="59" t="s">
        <v>71</v>
      </c>
      <c r="D361" s="59" t="s">
        <v>75</v>
      </c>
      <c r="E361" s="77" t="s">
        <v>95</v>
      </c>
      <c r="F361" s="79" t="s">
        <v>135</v>
      </c>
      <c r="G361" s="66" t="s">
        <v>135</v>
      </c>
      <c r="H361" s="66" t="s">
        <v>135</v>
      </c>
      <c r="I361" s="79" t="s">
        <v>259</v>
      </c>
      <c r="J361" s="67" t="s">
        <v>135</v>
      </c>
      <c r="K361" s="260"/>
      <c r="L361" s="68"/>
      <c r="M361" s="69"/>
      <c r="N361" s="502">
        <f t="shared" ref="N361:AB362" si="180">N362</f>
        <v>12877067.35</v>
      </c>
      <c r="O361" s="69">
        <f t="shared" si="180"/>
        <v>0</v>
      </c>
      <c r="P361" s="216">
        <f t="shared" si="180"/>
        <v>0</v>
      </c>
      <c r="Q361" s="498">
        <f t="shared" si="180"/>
        <v>0</v>
      </c>
      <c r="R361" s="69">
        <f t="shared" si="180"/>
        <v>0</v>
      </c>
      <c r="S361" s="216">
        <f t="shared" si="180"/>
        <v>15572429.960000001</v>
      </c>
      <c r="T361" s="216">
        <f t="shared" si="180"/>
        <v>15572429.960000001</v>
      </c>
      <c r="U361" s="217">
        <f t="shared" si="180"/>
        <v>0</v>
      </c>
      <c r="V361" s="498">
        <f t="shared" si="180"/>
        <v>0</v>
      </c>
      <c r="W361" s="215"/>
      <c r="X361" s="215">
        <f t="shared" si="180"/>
        <v>0</v>
      </c>
      <c r="Y361" s="216">
        <f t="shared" si="180"/>
        <v>0</v>
      </c>
      <c r="Z361" s="217">
        <f t="shared" si="180"/>
        <v>0</v>
      </c>
      <c r="AA361" s="216">
        <f t="shared" si="180"/>
        <v>0</v>
      </c>
      <c r="AB361" s="217">
        <f t="shared" si="180"/>
        <v>0</v>
      </c>
    </row>
    <row r="362" spans="1:28" ht="34.5" customHeight="1" x14ac:dyDescent="0.2">
      <c r="A362" s="362" t="s">
        <v>52</v>
      </c>
      <c r="B362" s="76" t="s">
        <v>109</v>
      </c>
      <c r="C362" s="59" t="s">
        <v>71</v>
      </c>
      <c r="D362" s="59" t="s">
        <v>75</v>
      </c>
      <c r="E362" s="77" t="s">
        <v>95</v>
      </c>
      <c r="F362" s="79" t="s">
        <v>135</v>
      </c>
      <c r="G362" s="66" t="s">
        <v>135</v>
      </c>
      <c r="H362" s="66" t="s">
        <v>135</v>
      </c>
      <c r="I362" s="79" t="s">
        <v>259</v>
      </c>
      <c r="J362" s="67" t="s">
        <v>135</v>
      </c>
      <c r="K362" s="260" t="s">
        <v>53</v>
      </c>
      <c r="L362" s="68"/>
      <c r="M362" s="69"/>
      <c r="N362" s="502">
        <f t="shared" si="180"/>
        <v>12877067.35</v>
      </c>
      <c r="O362" s="69">
        <f t="shared" si="180"/>
        <v>0</v>
      </c>
      <c r="P362" s="216">
        <f t="shared" si="180"/>
        <v>0</v>
      </c>
      <c r="Q362" s="498">
        <f t="shared" si="180"/>
        <v>0</v>
      </c>
      <c r="R362" s="69">
        <f t="shared" si="180"/>
        <v>0</v>
      </c>
      <c r="S362" s="216">
        <f t="shared" si="180"/>
        <v>15572429.960000001</v>
      </c>
      <c r="T362" s="216">
        <f t="shared" si="180"/>
        <v>15572429.960000001</v>
      </c>
      <c r="U362" s="217">
        <f t="shared" si="180"/>
        <v>0</v>
      </c>
      <c r="V362" s="498">
        <f t="shared" si="180"/>
        <v>0</v>
      </c>
      <c r="W362" s="215"/>
      <c r="X362" s="215">
        <f t="shared" si="180"/>
        <v>0</v>
      </c>
      <c r="Y362" s="216">
        <f t="shared" si="180"/>
        <v>0</v>
      </c>
      <c r="Z362" s="217">
        <f t="shared" si="180"/>
        <v>0</v>
      </c>
      <c r="AA362" s="216">
        <f t="shared" si="180"/>
        <v>0</v>
      </c>
      <c r="AB362" s="217">
        <f t="shared" si="180"/>
        <v>0</v>
      </c>
    </row>
    <row r="363" spans="1:28" ht="25.5" x14ac:dyDescent="0.2">
      <c r="A363" s="362" t="s">
        <v>54</v>
      </c>
      <c r="B363" s="76" t="s">
        <v>109</v>
      </c>
      <c r="C363" s="59" t="s">
        <v>71</v>
      </c>
      <c r="D363" s="59" t="s">
        <v>75</v>
      </c>
      <c r="E363" s="77" t="s">
        <v>95</v>
      </c>
      <c r="F363" s="79" t="s">
        <v>135</v>
      </c>
      <c r="G363" s="66" t="s">
        <v>135</v>
      </c>
      <c r="H363" s="66" t="s">
        <v>135</v>
      </c>
      <c r="I363" s="79" t="s">
        <v>259</v>
      </c>
      <c r="J363" s="67" t="s">
        <v>135</v>
      </c>
      <c r="K363" s="260" t="s">
        <v>55</v>
      </c>
      <c r="L363" s="68"/>
      <c r="M363" s="69"/>
      <c r="N363" s="502">
        <v>12877067.35</v>
      </c>
      <c r="O363" s="69">
        <v>0</v>
      </c>
      <c r="P363" s="216">
        <v>0</v>
      </c>
      <c r="Q363" s="498">
        <v>0</v>
      </c>
      <c r="R363" s="69">
        <v>0</v>
      </c>
      <c r="S363" s="216">
        <f>12457943.97+3114485.99</f>
        <v>15572429.960000001</v>
      </c>
      <c r="T363" s="216">
        <f>S363</f>
        <v>15572429.960000001</v>
      </c>
      <c r="U363" s="217">
        <v>0</v>
      </c>
      <c r="V363" s="498">
        <v>0</v>
      </c>
      <c r="W363" s="215"/>
      <c r="X363" s="215">
        <v>0</v>
      </c>
      <c r="Y363" s="216">
        <v>0</v>
      </c>
      <c r="Z363" s="217">
        <v>0</v>
      </c>
      <c r="AA363" s="216">
        <v>0</v>
      </c>
      <c r="AB363" s="217">
        <v>0</v>
      </c>
    </row>
    <row r="364" spans="1:28" ht="20.25" customHeight="1" x14ac:dyDescent="0.2">
      <c r="A364" s="363" t="s">
        <v>122</v>
      </c>
      <c r="B364" s="60" t="s">
        <v>109</v>
      </c>
      <c r="C364" s="58" t="s">
        <v>71</v>
      </c>
      <c r="D364" s="59" t="s">
        <v>86</v>
      </c>
      <c r="E364" s="60"/>
      <c r="F364" s="60"/>
      <c r="G364" s="66"/>
      <c r="H364" s="66"/>
      <c r="I364" s="60"/>
      <c r="J364" s="76"/>
      <c r="K364" s="246"/>
      <c r="L364" s="101" t="e">
        <f>L369+#REF!</f>
        <v>#REF!</v>
      </c>
      <c r="M364" s="102" t="e">
        <f>M369+#REF!</f>
        <v>#REF!</v>
      </c>
      <c r="N364" s="248">
        <f t="shared" ref="N364:Z364" si="181">N369+N365</f>
        <v>34079591.760000005</v>
      </c>
      <c r="O364" s="473">
        <f t="shared" si="181"/>
        <v>2810028.0100000002</v>
      </c>
      <c r="P364" s="248">
        <f t="shared" si="181"/>
        <v>47380837.759999998</v>
      </c>
      <c r="Q364" s="101">
        <f t="shared" si="181"/>
        <v>98429219.620000005</v>
      </c>
      <c r="R364" s="473">
        <f t="shared" si="181"/>
        <v>6807338.1099999994</v>
      </c>
      <c r="S364" s="248">
        <f>S369+S365</f>
        <v>-4153650</v>
      </c>
      <c r="T364" s="248">
        <f>T369+T365</f>
        <v>43227187.759999998</v>
      </c>
      <c r="U364" s="249">
        <f t="shared" si="181"/>
        <v>67033684.680000007</v>
      </c>
      <c r="V364" s="249">
        <f t="shared" si="181"/>
        <v>78943533.609999999</v>
      </c>
      <c r="W364" s="473">
        <f t="shared" si="181"/>
        <v>2810028.0100000002</v>
      </c>
      <c r="X364" s="473">
        <f>X369+X365</f>
        <v>0</v>
      </c>
      <c r="Y364" s="248">
        <f>Y369+Y365</f>
        <v>67033684.680000007</v>
      </c>
      <c r="Z364" s="249">
        <f t="shared" si="181"/>
        <v>43550688.57</v>
      </c>
      <c r="AA364" s="249">
        <f>AA369+AA365</f>
        <v>0</v>
      </c>
      <c r="AB364" s="248">
        <f>AB369+AB365</f>
        <v>43550688.57</v>
      </c>
    </row>
    <row r="365" spans="1:28" ht="48" customHeight="1" x14ac:dyDescent="0.2">
      <c r="A365" s="464" t="s">
        <v>338</v>
      </c>
      <c r="B365" s="60" t="s">
        <v>109</v>
      </c>
      <c r="C365" s="58" t="s">
        <v>71</v>
      </c>
      <c r="D365" s="59" t="s">
        <v>86</v>
      </c>
      <c r="E365" s="105" t="s">
        <v>71</v>
      </c>
      <c r="F365" s="60" t="s">
        <v>135</v>
      </c>
      <c r="G365" s="66" t="s">
        <v>135</v>
      </c>
      <c r="H365" s="66" t="s">
        <v>135</v>
      </c>
      <c r="I365" s="66" t="s">
        <v>136</v>
      </c>
      <c r="J365" s="67" t="s">
        <v>135</v>
      </c>
      <c r="K365" s="214"/>
      <c r="L365" s="101"/>
      <c r="M365" s="102"/>
      <c r="N365" s="248">
        <f t="shared" ref="N365:AB365" si="182">N366</f>
        <v>0</v>
      </c>
      <c r="O365" s="473">
        <f t="shared" si="182"/>
        <v>0</v>
      </c>
      <c r="P365" s="248">
        <f t="shared" si="182"/>
        <v>0</v>
      </c>
      <c r="Q365" s="101">
        <f t="shared" si="182"/>
        <v>1300000</v>
      </c>
      <c r="R365" s="473">
        <f t="shared" si="182"/>
        <v>0</v>
      </c>
      <c r="S365" s="473">
        <f t="shared" si="182"/>
        <v>0</v>
      </c>
      <c r="T365" s="248">
        <f t="shared" si="182"/>
        <v>0</v>
      </c>
      <c r="U365" s="249">
        <f t="shared" si="182"/>
        <v>1300000</v>
      </c>
      <c r="V365" s="445">
        <f t="shared" si="182"/>
        <v>0</v>
      </c>
      <c r="W365" s="101">
        <f t="shared" si="182"/>
        <v>0</v>
      </c>
      <c r="X365" s="473">
        <f t="shared" si="182"/>
        <v>0</v>
      </c>
      <c r="Y365" s="248">
        <f t="shared" si="182"/>
        <v>1300000</v>
      </c>
      <c r="Z365" s="249">
        <f t="shared" si="182"/>
        <v>0</v>
      </c>
      <c r="AA365" s="249">
        <f t="shared" si="182"/>
        <v>0</v>
      </c>
      <c r="AB365" s="249">
        <f t="shared" si="182"/>
        <v>0</v>
      </c>
    </row>
    <row r="366" spans="1:28" ht="25.5" x14ac:dyDescent="0.2">
      <c r="A366" s="277" t="s">
        <v>176</v>
      </c>
      <c r="B366" s="58" t="s">
        <v>109</v>
      </c>
      <c r="C366" s="58" t="s">
        <v>71</v>
      </c>
      <c r="D366" s="59" t="s">
        <v>86</v>
      </c>
      <c r="E366" s="103" t="s">
        <v>71</v>
      </c>
      <c r="F366" s="60" t="s">
        <v>135</v>
      </c>
      <c r="G366" s="66" t="s">
        <v>135</v>
      </c>
      <c r="H366" s="66" t="s">
        <v>135</v>
      </c>
      <c r="I366" s="66" t="s">
        <v>175</v>
      </c>
      <c r="J366" s="67" t="s">
        <v>135</v>
      </c>
      <c r="K366" s="214"/>
      <c r="L366" s="101"/>
      <c r="M366" s="102"/>
      <c r="N366" s="248">
        <f t="shared" ref="N366:AB367" si="183">N367</f>
        <v>0</v>
      </c>
      <c r="O366" s="248">
        <f t="shared" si="183"/>
        <v>0</v>
      </c>
      <c r="P366" s="248">
        <f t="shared" si="183"/>
        <v>0</v>
      </c>
      <c r="Q366" s="473">
        <f t="shared" si="183"/>
        <v>1300000</v>
      </c>
      <c r="R366" s="248">
        <f t="shared" si="183"/>
        <v>0</v>
      </c>
      <c r="S366" s="248">
        <f t="shared" si="183"/>
        <v>0</v>
      </c>
      <c r="T366" s="248">
        <f t="shared" si="183"/>
        <v>0</v>
      </c>
      <c r="U366" s="249">
        <f t="shared" si="183"/>
        <v>1300000</v>
      </c>
      <c r="V366" s="445">
        <f t="shared" si="183"/>
        <v>0</v>
      </c>
      <c r="W366" s="101">
        <f t="shared" si="183"/>
        <v>0</v>
      </c>
      <c r="X366" s="473">
        <f t="shared" si="183"/>
        <v>0</v>
      </c>
      <c r="Y366" s="248">
        <f t="shared" si="183"/>
        <v>1300000</v>
      </c>
      <c r="Z366" s="249">
        <f t="shared" si="183"/>
        <v>0</v>
      </c>
      <c r="AA366" s="249">
        <f t="shared" si="183"/>
        <v>0</v>
      </c>
      <c r="AB366" s="249">
        <f t="shared" si="183"/>
        <v>0</v>
      </c>
    </row>
    <row r="367" spans="1:28" ht="25.5" x14ac:dyDescent="0.2">
      <c r="A367" s="207" t="s">
        <v>187</v>
      </c>
      <c r="B367" s="58" t="s">
        <v>109</v>
      </c>
      <c r="C367" s="58" t="s">
        <v>71</v>
      </c>
      <c r="D367" s="59" t="s">
        <v>86</v>
      </c>
      <c r="E367" s="103" t="s">
        <v>71</v>
      </c>
      <c r="F367" s="66" t="s">
        <v>135</v>
      </c>
      <c r="G367" s="66" t="s">
        <v>135</v>
      </c>
      <c r="H367" s="66" t="s">
        <v>135</v>
      </c>
      <c r="I367" s="66" t="s">
        <v>175</v>
      </c>
      <c r="J367" s="67" t="s">
        <v>135</v>
      </c>
      <c r="K367" s="214" t="s">
        <v>160</v>
      </c>
      <c r="L367" s="101"/>
      <c r="M367" s="102"/>
      <c r="N367" s="248">
        <f t="shared" si="183"/>
        <v>0</v>
      </c>
      <c r="O367" s="248">
        <f t="shared" si="183"/>
        <v>0</v>
      </c>
      <c r="P367" s="248">
        <f t="shared" si="183"/>
        <v>0</v>
      </c>
      <c r="Q367" s="473">
        <f t="shared" si="183"/>
        <v>1300000</v>
      </c>
      <c r="R367" s="248">
        <f t="shared" si="183"/>
        <v>0</v>
      </c>
      <c r="S367" s="248">
        <f t="shared" si="183"/>
        <v>0</v>
      </c>
      <c r="T367" s="248">
        <f t="shared" si="183"/>
        <v>0</v>
      </c>
      <c r="U367" s="249">
        <f t="shared" si="183"/>
        <v>1300000</v>
      </c>
      <c r="V367" s="445">
        <f t="shared" si="183"/>
        <v>0</v>
      </c>
      <c r="W367" s="101">
        <f t="shared" si="183"/>
        <v>0</v>
      </c>
      <c r="X367" s="473">
        <f t="shared" si="183"/>
        <v>0</v>
      </c>
      <c r="Y367" s="248">
        <f t="shared" si="183"/>
        <v>1300000</v>
      </c>
      <c r="Z367" s="249">
        <f t="shared" si="183"/>
        <v>0</v>
      </c>
      <c r="AA367" s="249">
        <f t="shared" si="183"/>
        <v>0</v>
      </c>
      <c r="AB367" s="249">
        <f t="shared" si="183"/>
        <v>0</v>
      </c>
    </row>
    <row r="368" spans="1:28" x14ac:dyDescent="0.2">
      <c r="A368" s="258" t="s">
        <v>162</v>
      </c>
      <c r="B368" s="58" t="s">
        <v>109</v>
      </c>
      <c r="C368" s="58" t="s">
        <v>71</v>
      </c>
      <c r="D368" s="59" t="s">
        <v>86</v>
      </c>
      <c r="E368" s="103" t="s">
        <v>71</v>
      </c>
      <c r="F368" s="70" t="s">
        <v>135</v>
      </c>
      <c r="G368" s="66" t="s">
        <v>135</v>
      </c>
      <c r="H368" s="66" t="s">
        <v>135</v>
      </c>
      <c r="I368" s="66" t="s">
        <v>175</v>
      </c>
      <c r="J368" s="67" t="s">
        <v>135</v>
      </c>
      <c r="K368" s="214" t="s">
        <v>161</v>
      </c>
      <c r="L368" s="101"/>
      <c r="M368" s="102"/>
      <c r="N368" s="248">
        <v>0</v>
      </c>
      <c r="O368" s="248">
        <v>0</v>
      </c>
      <c r="P368" s="248">
        <v>0</v>
      </c>
      <c r="Q368" s="473">
        <v>1300000</v>
      </c>
      <c r="R368" s="248">
        <v>0</v>
      </c>
      <c r="S368" s="248">
        <v>0</v>
      </c>
      <c r="T368" s="248">
        <v>0</v>
      </c>
      <c r="U368" s="249">
        <v>1300000</v>
      </c>
      <c r="V368" s="445">
        <v>0</v>
      </c>
      <c r="W368" s="101">
        <v>0</v>
      </c>
      <c r="X368" s="473">
        <v>0</v>
      </c>
      <c r="Y368" s="248">
        <v>1300000</v>
      </c>
      <c r="Z368" s="249">
        <v>0</v>
      </c>
      <c r="AA368" s="249">
        <v>0</v>
      </c>
      <c r="AB368" s="249">
        <v>0</v>
      </c>
    </row>
    <row r="369" spans="1:28" ht="82.5" customHeight="1" x14ac:dyDescent="0.2">
      <c r="A369" s="212" t="s">
        <v>363</v>
      </c>
      <c r="B369" s="58" t="s">
        <v>109</v>
      </c>
      <c r="C369" s="58" t="s">
        <v>71</v>
      </c>
      <c r="D369" s="59" t="s">
        <v>86</v>
      </c>
      <c r="E369" s="81" t="s">
        <v>95</v>
      </c>
      <c r="F369" s="81" t="s">
        <v>135</v>
      </c>
      <c r="G369" s="66" t="s">
        <v>135</v>
      </c>
      <c r="H369" s="66" t="s">
        <v>135</v>
      </c>
      <c r="I369" s="81" t="s">
        <v>136</v>
      </c>
      <c r="J369" s="67" t="s">
        <v>135</v>
      </c>
      <c r="K369" s="219"/>
      <c r="L369" s="68" t="e">
        <f>#REF!+#REF!+L373+#REF!+#REF!</f>
        <v>#REF!</v>
      </c>
      <c r="M369" s="69" t="e">
        <f>#REF!+#REF!+M373+#REF!+#REF!</f>
        <v>#REF!</v>
      </c>
      <c r="N369" s="216">
        <f>N373+N376+N370</f>
        <v>34079591.760000005</v>
      </c>
      <c r="O369" s="216">
        <f>O373+O376+O370</f>
        <v>2810028.0100000002</v>
      </c>
      <c r="P369" s="216">
        <f>P373+P376+P370+P379</f>
        <v>47380837.759999998</v>
      </c>
      <c r="Q369" s="216">
        <f t="shared" ref="Q369:AB369" si="184">Q373+Q376+Q370+Q379</f>
        <v>97129219.620000005</v>
      </c>
      <c r="R369" s="216">
        <f t="shared" si="184"/>
        <v>6807338.1099999994</v>
      </c>
      <c r="S369" s="216">
        <f t="shared" si="184"/>
        <v>-4153650</v>
      </c>
      <c r="T369" s="216">
        <f t="shared" si="184"/>
        <v>43227187.759999998</v>
      </c>
      <c r="U369" s="217">
        <f t="shared" si="184"/>
        <v>65733684.680000007</v>
      </c>
      <c r="V369" s="216">
        <f t="shared" si="184"/>
        <v>78943533.609999999</v>
      </c>
      <c r="W369" s="216">
        <f t="shared" si="184"/>
        <v>2810028.0100000002</v>
      </c>
      <c r="X369" s="215">
        <f t="shared" si="184"/>
        <v>0</v>
      </c>
      <c r="Y369" s="216">
        <f t="shared" si="184"/>
        <v>65733684.680000007</v>
      </c>
      <c r="Z369" s="217">
        <f t="shared" si="184"/>
        <v>43550688.57</v>
      </c>
      <c r="AA369" s="216">
        <f t="shared" si="184"/>
        <v>0</v>
      </c>
      <c r="AB369" s="216">
        <f t="shared" si="184"/>
        <v>43550688.57</v>
      </c>
    </row>
    <row r="370" spans="1:28" ht="52.5" customHeight="1" x14ac:dyDescent="0.2">
      <c r="A370" s="212" t="s">
        <v>359</v>
      </c>
      <c r="B370" s="58" t="s">
        <v>109</v>
      </c>
      <c r="C370" s="59" t="s">
        <v>71</v>
      </c>
      <c r="D370" s="58" t="s">
        <v>86</v>
      </c>
      <c r="E370" s="103" t="s">
        <v>95</v>
      </c>
      <c r="F370" s="66" t="s">
        <v>135</v>
      </c>
      <c r="G370" s="66" t="s">
        <v>135</v>
      </c>
      <c r="H370" s="66" t="s">
        <v>135</v>
      </c>
      <c r="I370" s="66" t="s">
        <v>360</v>
      </c>
      <c r="J370" s="67" t="s">
        <v>135</v>
      </c>
      <c r="K370" s="214"/>
      <c r="L370" s="68"/>
      <c r="M370" s="69"/>
      <c r="N370" s="216">
        <f t="shared" ref="N370:AB371" si="185">N371</f>
        <v>0</v>
      </c>
      <c r="O370" s="216">
        <f t="shared" si="185"/>
        <v>0</v>
      </c>
      <c r="P370" s="216">
        <f t="shared" si="185"/>
        <v>0</v>
      </c>
      <c r="Q370" s="215">
        <f t="shared" si="185"/>
        <v>24960378</v>
      </c>
      <c r="R370" s="216">
        <f t="shared" si="185"/>
        <v>3320175.62</v>
      </c>
      <c r="S370" s="216">
        <f t="shared" si="185"/>
        <v>0</v>
      </c>
      <c r="T370" s="216">
        <f t="shared" si="185"/>
        <v>0</v>
      </c>
      <c r="U370" s="217">
        <f t="shared" si="185"/>
        <v>28280553.620000001</v>
      </c>
      <c r="V370" s="216">
        <f t="shared" si="185"/>
        <v>5449262</v>
      </c>
      <c r="W370" s="215">
        <f t="shared" si="185"/>
        <v>0</v>
      </c>
      <c r="X370" s="215">
        <f t="shared" si="185"/>
        <v>0</v>
      </c>
      <c r="Y370" s="216">
        <f t="shared" si="185"/>
        <v>28280553.620000001</v>
      </c>
      <c r="Z370" s="217">
        <f t="shared" si="185"/>
        <v>5449262</v>
      </c>
      <c r="AA370" s="216">
        <f t="shared" si="185"/>
        <v>0</v>
      </c>
      <c r="AB370" s="216">
        <f t="shared" si="185"/>
        <v>5449262</v>
      </c>
    </row>
    <row r="371" spans="1:28" ht="34.5" customHeight="1" x14ac:dyDescent="0.2">
      <c r="A371" s="212" t="s">
        <v>52</v>
      </c>
      <c r="B371" s="58" t="s">
        <v>109</v>
      </c>
      <c r="C371" s="59" t="s">
        <v>71</v>
      </c>
      <c r="D371" s="58" t="s">
        <v>86</v>
      </c>
      <c r="E371" s="103" t="s">
        <v>95</v>
      </c>
      <c r="F371" s="66" t="s">
        <v>135</v>
      </c>
      <c r="G371" s="66" t="s">
        <v>135</v>
      </c>
      <c r="H371" s="66" t="s">
        <v>135</v>
      </c>
      <c r="I371" s="66" t="s">
        <v>360</v>
      </c>
      <c r="J371" s="67" t="s">
        <v>135</v>
      </c>
      <c r="K371" s="214" t="s">
        <v>53</v>
      </c>
      <c r="L371" s="68"/>
      <c r="M371" s="69"/>
      <c r="N371" s="216">
        <f t="shared" si="185"/>
        <v>0</v>
      </c>
      <c r="O371" s="216">
        <f t="shared" si="185"/>
        <v>0</v>
      </c>
      <c r="P371" s="216">
        <f t="shared" si="185"/>
        <v>0</v>
      </c>
      <c r="Q371" s="215">
        <f t="shared" si="185"/>
        <v>24960378</v>
      </c>
      <c r="R371" s="216">
        <f t="shared" si="185"/>
        <v>3320175.62</v>
      </c>
      <c r="S371" s="216">
        <f t="shared" si="185"/>
        <v>0</v>
      </c>
      <c r="T371" s="216">
        <f t="shared" si="185"/>
        <v>0</v>
      </c>
      <c r="U371" s="217">
        <f t="shared" si="185"/>
        <v>28280553.620000001</v>
      </c>
      <c r="V371" s="216">
        <f t="shared" si="185"/>
        <v>5449262</v>
      </c>
      <c r="W371" s="215">
        <f t="shared" si="185"/>
        <v>0</v>
      </c>
      <c r="X371" s="215">
        <f t="shared" si="185"/>
        <v>0</v>
      </c>
      <c r="Y371" s="216">
        <f t="shared" si="185"/>
        <v>28280553.620000001</v>
      </c>
      <c r="Z371" s="217">
        <f t="shared" si="185"/>
        <v>5449262</v>
      </c>
      <c r="AA371" s="216">
        <f t="shared" si="185"/>
        <v>0</v>
      </c>
      <c r="AB371" s="216">
        <f t="shared" si="185"/>
        <v>5449262</v>
      </c>
    </row>
    <row r="372" spans="1:28" ht="31.5" customHeight="1" x14ac:dyDescent="0.2">
      <c r="A372" s="212" t="s">
        <v>54</v>
      </c>
      <c r="B372" s="58" t="s">
        <v>109</v>
      </c>
      <c r="C372" s="59" t="s">
        <v>71</v>
      </c>
      <c r="D372" s="58" t="s">
        <v>86</v>
      </c>
      <c r="E372" s="103" t="s">
        <v>95</v>
      </c>
      <c r="F372" s="66" t="s">
        <v>135</v>
      </c>
      <c r="G372" s="66" t="s">
        <v>135</v>
      </c>
      <c r="H372" s="66" t="s">
        <v>135</v>
      </c>
      <c r="I372" s="66" t="s">
        <v>360</v>
      </c>
      <c r="J372" s="67" t="s">
        <v>135</v>
      </c>
      <c r="K372" s="214" t="s">
        <v>55</v>
      </c>
      <c r="L372" s="68"/>
      <c r="M372" s="69"/>
      <c r="N372" s="216">
        <v>0</v>
      </c>
      <c r="O372" s="216">
        <v>0</v>
      </c>
      <c r="P372" s="216">
        <v>0</v>
      </c>
      <c r="Q372" s="215">
        <v>24960378</v>
      </c>
      <c r="R372" s="216">
        <v>3320175.62</v>
      </c>
      <c r="S372" s="216">
        <v>0</v>
      </c>
      <c r="T372" s="216">
        <v>0</v>
      </c>
      <c r="U372" s="217">
        <f>R372+Q372</f>
        <v>28280553.620000001</v>
      </c>
      <c r="V372" s="216">
        <v>5449262</v>
      </c>
      <c r="W372" s="215">
        <v>0</v>
      </c>
      <c r="X372" s="215">
        <v>0</v>
      </c>
      <c r="Y372" s="216">
        <v>28280553.620000001</v>
      </c>
      <c r="Z372" s="217">
        <v>5449262</v>
      </c>
      <c r="AA372" s="216">
        <v>0</v>
      </c>
      <c r="AB372" s="216">
        <v>5449262</v>
      </c>
    </row>
    <row r="373" spans="1:28" ht="51" x14ac:dyDescent="0.2">
      <c r="A373" s="212" t="s">
        <v>206</v>
      </c>
      <c r="B373" s="58" t="s">
        <v>109</v>
      </c>
      <c r="C373" s="58" t="s">
        <v>71</v>
      </c>
      <c r="D373" s="59" t="s">
        <v>86</v>
      </c>
      <c r="E373" s="66" t="s">
        <v>95</v>
      </c>
      <c r="F373" s="66" t="s">
        <v>135</v>
      </c>
      <c r="G373" s="66" t="s">
        <v>135</v>
      </c>
      <c r="H373" s="66" t="s">
        <v>135</v>
      </c>
      <c r="I373" s="66" t="s">
        <v>205</v>
      </c>
      <c r="J373" s="67" t="s">
        <v>202</v>
      </c>
      <c r="K373" s="214"/>
      <c r="L373" s="64">
        <f t="shared" ref="L373:AB374" si="186">L374</f>
        <v>9008886.6799999997</v>
      </c>
      <c r="M373" s="65">
        <f t="shared" si="186"/>
        <v>0</v>
      </c>
      <c r="N373" s="224">
        <f t="shared" si="186"/>
        <v>34079591.760000005</v>
      </c>
      <c r="O373" s="224">
        <f t="shared" si="186"/>
        <v>2810028.0100000002</v>
      </c>
      <c r="P373" s="224">
        <f t="shared" si="186"/>
        <v>42727187.759999998</v>
      </c>
      <c r="Q373" s="64">
        <f t="shared" si="186"/>
        <v>33965968.57</v>
      </c>
      <c r="R373" s="224">
        <f t="shared" si="186"/>
        <v>3487162.4899999998</v>
      </c>
      <c r="S373" s="224">
        <f t="shared" si="186"/>
        <v>0</v>
      </c>
      <c r="T373" s="224">
        <f t="shared" si="186"/>
        <v>42727187.759999998</v>
      </c>
      <c r="U373" s="64">
        <f t="shared" si="186"/>
        <v>37453131.060000002</v>
      </c>
      <c r="V373" s="224">
        <f t="shared" si="186"/>
        <v>35291398.560000002</v>
      </c>
      <c r="W373" s="223">
        <f t="shared" si="186"/>
        <v>2810028.0100000002</v>
      </c>
      <c r="X373" s="223">
        <f t="shared" si="186"/>
        <v>0</v>
      </c>
      <c r="Y373" s="224">
        <f t="shared" si="186"/>
        <v>37453131.060000002</v>
      </c>
      <c r="Z373" s="225">
        <f t="shared" si="186"/>
        <v>38101426.57</v>
      </c>
      <c r="AA373" s="224">
        <f t="shared" si="186"/>
        <v>0</v>
      </c>
      <c r="AB373" s="224">
        <f t="shared" si="186"/>
        <v>38101426.57</v>
      </c>
    </row>
    <row r="374" spans="1:28" ht="25.5" x14ac:dyDescent="0.2">
      <c r="A374" s="212" t="s">
        <v>52</v>
      </c>
      <c r="B374" s="58" t="s">
        <v>109</v>
      </c>
      <c r="C374" s="58" t="s">
        <v>71</v>
      </c>
      <c r="D374" s="59" t="s">
        <v>86</v>
      </c>
      <c r="E374" s="66" t="s">
        <v>95</v>
      </c>
      <c r="F374" s="66" t="s">
        <v>135</v>
      </c>
      <c r="G374" s="66" t="s">
        <v>135</v>
      </c>
      <c r="H374" s="66" t="s">
        <v>135</v>
      </c>
      <c r="I374" s="66" t="s">
        <v>205</v>
      </c>
      <c r="J374" s="67" t="s">
        <v>202</v>
      </c>
      <c r="K374" s="214" t="s">
        <v>53</v>
      </c>
      <c r="L374" s="64">
        <f t="shared" si="186"/>
        <v>9008886.6799999997</v>
      </c>
      <c r="M374" s="65">
        <f t="shared" si="186"/>
        <v>0</v>
      </c>
      <c r="N374" s="224">
        <f t="shared" si="186"/>
        <v>34079591.760000005</v>
      </c>
      <c r="O374" s="224">
        <f t="shared" si="186"/>
        <v>2810028.0100000002</v>
      </c>
      <c r="P374" s="224">
        <f t="shared" si="186"/>
        <v>42727187.759999998</v>
      </c>
      <c r="Q374" s="64">
        <f t="shared" si="186"/>
        <v>33965968.57</v>
      </c>
      <c r="R374" s="224">
        <f t="shared" si="186"/>
        <v>3487162.4899999998</v>
      </c>
      <c r="S374" s="224">
        <f t="shared" si="186"/>
        <v>0</v>
      </c>
      <c r="T374" s="224">
        <f t="shared" si="186"/>
        <v>42727187.759999998</v>
      </c>
      <c r="U374" s="64">
        <f t="shared" si="186"/>
        <v>37453131.060000002</v>
      </c>
      <c r="V374" s="224">
        <f t="shared" si="186"/>
        <v>35291398.560000002</v>
      </c>
      <c r="W374" s="223">
        <f t="shared" si="186"/>
        <v>2810028.0100000002</v>
      </c>
      <c r="X374" s="223">
        <f t="shared" si="186"/>
        <v>0</v>
      </c>
      <c r="Y374" s="224">
        <f t="shared" si="186"/>
        <v>37453131.060000002</v>
      </c>
      <c r="Z374" s="225">
        <f t="shared" si="186"/>
        <v>38101426.57</v>
      </c>
      <c r="AA374" s="224">
        <f t="shared" si="186"/>
        <v>0</v>
      </c>
      <c r="AB374" s="224">
        <f t="shared" si="186"/>
        <v>38101426.57</v>
      </c>
    </row>
    <row r="375" spans="1:28" ht="25.5" x14ac:dyDescent="0.2">
      <c r="A375" s="212" t="s">
        <v>54</v>
      </c>
      <c r="B375" s="58" t="s">
        <v>109</v>
      </c>
      <c r="C375" s="58" t="s">
        <v>71</v>
      </c>
      <c r="D375" s="59" t="s">
        <v>86</v>
      </c>
      <c r="E375" s="66" t="s">
        <v>95</v>
      </c>
      <c r="F375" s="66" t="s">
        <v>135</v>
      </c>
      <c r="G375" s="66" t="s">
        <v>135</v>
      </c>
      <c r="H375" s="66" t="s">
        <v>135</v>
      </c>
      <c r="I375" s="66" t="s">
        <v>205</v>
      </c>
      <c r="J375" s="67" t="s">
        <v>202</v>
      </c>
      <c r="K375" s="309" t="s">
        <v>55</v>
      </c>
      <c r="L375" s="64">
        <v>9008886.6799999997</v>
      </c>
      <c r="M375" s="65">
        <v>0</v>
      </c>
      <c r="N375" s="224">
        <f>28603147.26+5476444.5</f>
        <v>34079591.760000005</v>
      </c>
      <c r="O375" s="224">
        <f>2048318.11+761709.9</f>
        <v>2810028.0100000002</v>
      </c>
      <c r="P375" s="224">
        <v>42727187.759999998</v>
      </c>
      <c r="Q375" s="64">
        <f>28489524.07+5476444.5</f>
        <v>33965968.57</v>
      </c>
      <c r="R375" s="224">
        <f>2725452.59+761709.9</f>
        <v>3487162.4899999998</v>
      </c>
      <c r="S375" s="224">
        <v>0</v>
      </c>
      <c r="T375" s="224">
        <f>S375+P375</f>
        <v>42727187.759999998</v>
      </c>
      <c r="U375" s="64">
        <f>R375+Q375</f>
        <v>37453131.060000002</v>
      </c>
      <c r="V375" s="224">
        <f>29814954.06+5476444.5</f>
        <v>35291398.560000002</v>
      </c>
      <c r="W375" s="223">
        <f>2048318.11+761709.9</f>
        <v>2810028.0100000002</v>
      </c>
      <c r="X375" s="223">
        <v>0</v>
      </c>
      <c r="Y375" s="224">
        <v>37453131.060000002</v>
      </c>
      <c r="Z375" s="225">
        <f>W375+V375</f>
        <v>38101426.57</v>
      </c>
      <c r="AA375" s="224">
        <v>0</v>
      </c>
      <c r="AB375" s="224">
        <v>38101426.57</v>
      </c>
    </row>
    <row r="376" spans="1:28" hidden="1" x14ac:dyDescent="0.2">
      <c r="A376" s="258" t="s">
        <v>258</v>
      </c>
      <c r="B376" s="58" t="s">
        <v>109</v>
      </c>
      <c r="C376" s="58" t="s">
        <v>71</v>
      </c>
      <c r="D376" s="59" t="s">
        <v>86</v>
      </c>
      <c r="E376" s="79" t="s">
        <v>95</v>
      </c>
      <c r="F376" s="79" t="s">
        <v>135</v>
      </c>
      <c r="G376" s="66" t="s">
        <v>135</v>
      </c>
      <c r="H376" s="66" t="s">
        <v>135</v>
      </c>
      <c r="I376" s="79" t="s">
        <v>257</v>
      </c>
      <c r="J376" s="67" t="s">
        <v>135</v>
      </c>
      <c r="K376" s="291"/>
      <c r="L376" s="64"/>
      <c r="M376" s="65"/>
      <c r="N376" s="224">
        <f t="shared" ref="N376:AB377" si="187">N377</f>
        <v>0</v>
      </c>
      <c r="O376" s="224">
        <f t="shared" si="187"/>
        <v>0</v>
      </c>
      <c r="P376" s="224">
        <f t="shared" si="187"/>
        <v>0</v>
      </c>
      <c r="Q376" s="64">
        <f t="shared" si="187"/>
        <v>0</v>
      </c>
      <c r="R376" s="224">
        <f t="shared" si="187"/>
        <v>0</v>
      </c>
      <c r="S376" s="224">
        <f t="shared" si="187"/>
        <v>0</v>
      </c>
      <c r="T376" s="224">
        <f t="shared" si="187"/>
        <v>0</v>
      </c>
      <c r="U376" s="64">
        <f t="shared" si="187"/>
        <v>0</v>
      </c>
      <c r="V376" s="224">
        <f t="shared" si="187"/>
        <v>0</v>
      </c>
      <c r="W376" s="223">
        <f t="shared" si="187"/>
        <v>0</v>
      </c>
      <c r="X376" s="223">
        <f t="shared" si="187"/>
        <v>0</v>
      </c>
      <c r="Y376" s="224">
        <f t="shared" si="187"/>
        <v>0</v>
      </c>
      <c r="Z376" s="225">
        <f t="shared" si="187"/>
        <v>0</v>
      </c>
      <c r="AA376" s="224">
        <f t="shared" si="187"/>
        <v>0</v>
      </c>
      <c r="AB376" s="224">
        <f t="shared" si="187"/>
        <v>0</v>
      </c>
    </row>
    <row r="377" spans="1:28" ht="25.5" hidden="1" x14ac:dyDescent="0.2">
      <c r="A377" s="212" t="s">
        <v>52</v>
      </c>
      <c r="B377" s="58" t="s">
        <v>109</v>
      </c>
      <c r="C377" s="58" t="s">
        <v>71</v>
      </c>
      <c r="D377" s="59" t="s">
        <v>86</v>
      </c>
      <c r="E377" s="79" t="s">
        <v>95</v>
      </c>
      <c r="F377" s="79" t="s">
        <v>135</v>
      </c>
      <c r="G377" s="66" t="s">
        <v>135</v>
      </c>
      <c r="H377" s="66" t="s">
        <v>135</v>
      </c>
      <c r="I377" s="79" t="s">
        <v>257</v>
      </c>
      <c r="J377" s="67" t="s">
        <v>135</v>
      </c>
      <c r="K377" s="291" t="s">
        <v>53</v>
      </c>
      <c r="L377" s="64"/>
      <c r="M377" s="65"/>
      <c r="N377" s="224">
        <f t="shared" si="187"/>
        <v>0</v>
      </c>
      <c r="O377" s="224">
        <f t="shared" si="187"/>
        <v>0</v>
      </c>
      <c r="P377" s="224">
        <f t="shared" si="187"/>
        <v>0</v>
      </c>
      <c r="Q377" s="64">
        <f t="shared" si="187"/>
        <v>0</v>
      </c>
      <c r="R377" s="224">
        <f t="shared" si="187"/>
        <v>0</v>
      </c>
      <c r="S377" s="224">
        <f t="shared" si="187"/>
        <v>0</v>
      </c>
      <c r="T377" s="224">
        <f t="shared" si="187"/>
        <v>0</v>
      </c>
      <c r="U377" s="64">
        <f t="shared" si="187"/>
        <v>0</v>
      </c>
      <c r="V377" s="224">
        <f t="shared" si="187"/>
        <v>0</v>
      </c>
      <c r="W377" s="223">
        <f t="shared" si="187"/>
        <v>0</v>
      </c>
      <c r="X377" s="223">
        <f t="shared" si="187"/>
        <v>0</v>
      </c>
      <c r="Y377" s="224">
        <f t="shared" si="187"/>
        <v>0</v>
      </c>
      <c r="Z377" s="225">
        <f t="shared" si="187"/>
        <v>0</v>
      </c>
      <c r="AA377" s="224">
        <f t="shared" si="187"/>
        <v>0</v>
      </c>
      <c r="AB377" s="224">
        <f t="shared" si="187"/>
        <v>0</v>
      </c>
    </row>
    <row r="378" spans="1:28" ht="25.5" hidden="1" x14ac:dyDescent="0.2">
      <c r="A378" s="212" t="s">
        <v>54</v>
      </c>
      <c r="B378" s="58" t="s">
        <v>109</v>
      </c>
      <c r="C378" s="58" t="s">
        <v>71</v>
      </c>
      <c r="D378" s="59" t="s">
        <v>86</v>
      </c>
      <c r="E378" s="79" t="s">
        <v>95</v>
      </c>
      <c r="F378" s="79" t="s">
        <v>135</v>
      </c>
      <c r="G378" s="66" t="s">
        <v>135</v>
      </c>
      <c r="H378" s="66" t="s">
        <v>135</v>
      </c>
      <c r="I378" s="79" t="s">
        <v>257</v>
      </c>
      <c r="J378" s="67" t="s">
        <v>135</v>
      </c>
      <c r="K378" s="291" t="s">
        <v>55</v>
      </c>
      <c r="L378" s="64"/>
      <c r="M378" s="65"/>
      <c r="N378" s="224">
        <v>0</v>
      </c>
      <c r="O378" s="224">
        <v>0</v>
      </c>
      <c r="P378" s="224">
        <v>0</v>
      </c>
      <c r="Q378" s="64">
        <v>0</v>
      </c>
      <c r="R378" s="224">
        <v>0</v>
      </c>
      <c r="S378" s="224">
        <v>0</v>
      </c>
      <c r="T378" s="224">
        <v>0</v>
      </c>
      <c r="U378" s="64">
        <v>0</v>
      </c>
      <c r="V378" s="224">
        <v>0</v>
      </c>
      <c r="W378" s="223">
        <v>0</v>
      </c>
      <c r="X378" s="223">
        <v>0</v>
      </c>
      <c r="Y378" s="224">
        <v>0</v>
      </c>
      <c r="Z378" s="225">
        <v>0</v>
      </c>
      <c r="AA378" s="224">
        <v>0</v>
      </c>
      <c r="AB378" s="224">
        <v>0</v>
      </c>
    </row>
    <row r="379" spans="1:28" ht="38.25" x14ac:dyDescent="0.2">
      <c r="A379" s="212" t="s">
        <v>347</v>
      </c>
      <c r="B379" s="58" t="s">
        <v>109</v>
      </c>
      <c r="C379" s="58" t="s">
        <v>71</v>
      </c>
      <c r="D379" s="59" t="s">
        <v>86</v>
      </c>
      <c r="E379" s="79" t="s">
        <v>95</v>
      </c>
      <c r="F379" s="79" t="s">
        <v>135</v>
      </c>
      <c r="G379" s="66" t="s">
        <v>135</v>
      </c>
      <c r="H379" s="66" t="s">
        <v>135</v>
      </c>
      <c r="I379" s="66" t="s">
        <v>389</v>
      </c>
      <c r="J379" s="67" t="s">
        <v>135</v>
      </c>
      <c r="K379" s="291"/>
      <c r="L379" s="68">
        <f t="shared" ref="L379:AB380" si="188">L380</f>
        <v>9973757.5099999998</v>
      </c>
      <c r="M379" s="69">
        <f t="shared" si="188"/>
        <v>0</v>
      </c>
      <c r="N379" s="216">
        <f t="shared" si="188"/>
        <v>0</v>
      </c>
      <c r="O379" s="216">
        <f t="shared" si="188"/>
        <v>0</v>
      </c>
      <c r="P379" s="216">
        <f t="shared" si="188"/>
        <v>4653650</v>
      </c>
      <c r="Q379" s="68">
        <f t="shared" si="188"/>
        <v>38202873.049999997</v>
      </c>
      <c r="R379" s="216">
        <f t="shared" si="188"/>
        <v>0</v>
      </c>
      <c r="S379" s="216">
        <f t="shared" si="188"/>
        <v>-4153650</v>
      </c>
      <c r="T379" s="216">
        <f t="shared" si="188"/>
        <v>500000</v>
      </c>
      <c r="U379" s="68">
        <f t="shared" si="188"/>
        <v>0</v>
      </c>
      <c r="V379" s="216">
        <f t="shared" si="188"/>
        <v>38202873.049999997</v>
      </c>
      <c r="W379" s="215">
        <f t="shared" si="188"/>
        <v>0</v>
      </c>
      <c r="X379" s="215">
        <f t="shared" si="188"/>
        <v>0</v>
      </c>
      <c r="Y379" s="216">
        <f t="shared" si="188"/>
        <v>0</v>
      </c>
      <c r="Z379" s="217">
        <f t="shared" si="188"/>
        <v>0</v>
      </c>
      <c r="AA379" s="216">
        <f t="shared" si="188"/>
        <v>0</v>
      </c>
      <c r="AB379" s="216">
        <f t="shared" si="188"/>
        <v>0</v>
      </c>
    </row>
    <row r="380" spans="1:28" ht="25.5" x14ac:dyDescent="0.2">
      <c r="A380" s="212" t="s">
        <v>52</v>
      </c>
      <c r="B380" s="58" t="s">
        <v>109</v>
      </c>
      <c r="C380" s="58" t="s">
        <v>71</v>
      </c>
      <c r="D380" s="59" t="s">
        <v>86</v>
      </c>
      <c r="E380" s="79" t="s">
        <v>95</v>
      </c>
      <c r="F380" s="79" t="s">
        <v>135</v>
      </c>
      <c r="G380" s="66" t="s">
        <v>135</v>
      </c>
      <c r="H380" s="66" t="s">
        <v>135</v>
      </c>
      <c r="I380" s="66" t="s">
        <v>389</v>
      </c>
      <c r="J380" s="67" t="s">
        <v>135</v>
      </c>
      <c r="K380" s="291" t="s">
        <v>53</v>
      </c>
      <c r="L380" s="68">
        <f t="shared" si="188"/>
        <v>9973757.5099999998</v>
      </c>
      <c r="M380" s="69">
        <f t="shared" si="188"/>
        <v>0</v>
      </c>
      <c r="N380" s="216">
        <f t="shared" si="188"/>
        <v>0</v>
      </c>
      <c r="O380" s="216">
        <f t="shared" si="188"/>
        <v>0</v>
      </c>
      <c r="P380" s="216">
        <f t="shared" si="188"/>
        <v>4653650</v>
      </c>
      <c r="Q380" s="68">
        <f t="shared" si="188"/>
        <v>38202873.049999997</v>
      </c>
      <c r="R380" s="216">
        <f t="shared" si="188"/>
        <v>0</v>
      </c>
      <c r="S380" s="216">
        <f t="shared" si="188"/>
        <v>-4153650</v>
      </c>
      <c r="T380" s="216">
        <f t="shared" si="188"/>
        <v>500000</v>
      </c>
      <c r="U380" s="68">
        <f t="shared" si="188"/>
        <v>0</v>
      </c>
      <c r="V380" s="216">
        <f t="shared" si="188"/>
        <v>38202873.049999997</v>
      </c>
      <c r="W380" s="215">
        <f t="shared" si="188"/>
        <v>0</v>
      </c>
      <c r="X380" s="215">
        <f t="shared" si="188"/>
        <v>0</v>
      </c>
      <c r="Y380" s="216">
        <f t="shared" si="188"/>
        <v>0</v>
      </c>
      <c r="Z380" s="217">
        <f t="shared" si="188"/>
        <v>0</v>
      </c>
      <c r="AA380" s="216">
        <f t="shared" si="188"/>
        <v>0</v>
      </c>
      <c r="AB380" s="216">
        <f t="shared" si="188"/>
        <v>0</v>
      </c>
    </row>
    <row r="381" spans="1:28" ht="25.5" x14ac:dyDescent="0.2">
      <c r="A381" s="212" t="s">
        <v>54</v>
      </c>
      <c r="B381" s="58" t="s">
        <v>109</v>
      </c>
      <c r="C381" s="58" t="s">
        <v>71</v>
      </c>
      <c r="D381" s="59" t="s">
        <v>86</v>
      </c>
      <c r="E381" s="79" t="s">
        <v>95</v>
      </c>
      <c r="F381" s="79" t="s">
        <v>135</v>
      </c>
      <c r="G381" s="66" t="s">
        <v>135</v>
      </c>
      <c r="H381" s="66" t="s">
        <v>135</v>
      </c>
      <c r="I381" s="66" t="s">
        <v>389</v>
      </c>
      <c r="J381" s="67" t="s">
        <v>135</v>
      </c>
      <c r="K381" s="291" t="s">
        <v>55</v>
      </c>
      <c r="L381" s="68">
        <v>9973757.5099999998</v>
      </c>
      <c r="M381" s="69">
        <v>0</v>
      </c>
      <c r="N381" s="216">
        <v>0</v>
      </c>
      <c r="O381" s="216">
        <v>0</v>
      </c>
      <c r="P381" s="216">
        <v>4653650</v>
      </c>
      <c r="Q381" s="68">
        <v>38202873.049999997</v>
      </c>
      <c r="R381" s="216">
        <v>0</v>
      </c>
      <c r="S381" s="216">
        <v>-4153650</v>
      </c>
      <c r="T381" s="216">
        <f>S381+P381</f>
        <v>500000</v>
      </c>
      <c r="U381" s="68">
        <v>0</v>
      </c>
      <c r="V381" s="216">
        <v>38202873.049999997</v>
      </c>
      <c r="W381" s="215">
        <v>0</v>
      </c>
      <c r="X381" s="215">
        <v>0</v>
      </c>
      <c r="Y381" s="216">
        <v>0</v>
      </c>
      <c r="Z381" s="217">
        <v>0</v>
      </c>
      <c r="AA381" s="216">
        <v>0</v>
      </c>
      <c r="AB381" s="216">
        <v>0</v>
      </c>
    </row>
    <row r="382" spans="1:28" x14ac:dyDescent="0.2">
      <c r="A382" s="207" t="s">
        <v>94</v>
      </c>
      <c r="B382" s="58" t="s">
        <v>109</v>
      </c>
      <c r="C382" s="58" t="s">
        <v>71</v>
      </c>
      <c r="D382" s="59" t="s">
        <v>100</v>
      </c>
      <c r="E382" s="60"/>
      <c r="F382" s="60"/>
      <c r="G382" s="66"/>
      <c r="H382" s="66"/>
      <c r="I382" s="60"/>
      <c r="J382" s="67"/>
      <c r="K382" s="408"/>
      <c r="L382" s="101">
        <f>L390</f>
        <v>2073576.66</v>
      </c>
      <c r="M382" s="102">
        <f>M390</f>
        <v>0</v>
      </c>
      <c r="N382" s="248">
        <f t="shared" ref="N382:Z382" si="189">N390+N383</f>
        <v>5301879.57</v>
      </c>
      <c r="O382" s="248">
        <f t="shared" si="189"/>
        <v>0</v>
      </c>
      <c r="P382" s="248">
        <f t="shared" si="189"/>
        <v>5301879.57</v>
      </c>
      <c r="Q382" s="101">
        <f t="shared" si="189"/>
        <v>42018085.07</v>
      </c>
      <c r="R382" s="248">
        <f t="shared" si="189"/>
        <v>0</v>
      </c>
      <c r="S382" s="248">
        <f>S390+S383</f>
        <v>493000</v>
      </c>
      <c r="T382" s="248">
        <f>T390+T383</f>
        <v>5794879.5700000003</v>
      </c>
      <c r="U382" s="101">
        <f t="shared" si="189"/>
        <v>3815212.0200000005</v>
      </c>
      <c r="V382" s="248">
        <f t="shared" si="189"/>
        <v>42948606.07</v>
      </c>
      <c r="W382" s="473">
        <f t="shared" si="189"/>
        <v>0</v>
      </c>
      <c r="X382" s="473">
        <f>X390+X383</f>
        <v>0</v>
      </c>
      <c r="Y382" s="248">
        <f>Y390+Y383</f>
        <v>3815212.0200000005</v>
      </c>
      <c r="Z382" s="249">
        <f t="shared" si="189"/>
        <v>4745733.0200000005</v>
      </c>
      <c r="AA382" s="248">
        <f>AA390+AA383</f>
        <v>0</v>
      </c>
      <c r="AB382" s="248">
        <f>AB390+AB383</f>
        <v>4745733.0200000005</v>
      </c>
    </row>
    <row r="383" spans="1:28" ht="38.25" x14ac:dyDescent="0.2">
      <c r="A383" s="226" t="s">
        <v>338</v>
      </c>
      <c r="B383" s="58" t="s">
        <v>109</v>
      </c>
      <c r="C383" s="58" t="s">
        <v>71</v>
      </c>
      <c r="D383" s="59" t="s">
        <v>100</v>
      </c>
      <c r="E383" s="70" t="s">
        <v>71</v>
      </c>
      <c r="F383" s="60" t="s">
        <v>135</v>
      </c>
      <c r="G383" s="66" t="s">
        <v>135</v>
      </c>
      <c r="H383" s="66" t="s">
        <v>135</v>
      </c>
      <c r="I383" s="66" t="s">
        <v>136</v>
      </c>
      <c r="J383" s="67" t="s">
        <v>135</v>
      </c>
      <c r="K383" s="309"/>
      <c r="L383" s="397"/>
      <c r="M383" s="423"/>
      <c r="N383" s="248">
        <f t="shared" ref="N383:AB385" si="190">N384</f>
        <v>0</v>
      </c>
      <c r="O383" s="248">
        <f t="shared" si="190"/>
        <v>0</v>
      </c>
      <c r="P383" s="248">
        <f>P384+P387</f>
        <v>0</v>
      </c>
      <c r="Q383" s="248">
        <f t="shared" ref="Q383:AB383" si="191">Q384+Q387</f>
        <v>38202873.049999997</v>
      </c>
      <c r="R383" s="248">
        <f t="shared" si="191"/>
        <v>0</v>
      </c>
      <c r="S383" s="248">
        <f t="shared" si="191"/>
        <v>493000</v>
      </c>
      <c r="T383" s="248">
        <f t="shared" si="191"/>
        <v>493000</v>
      </c>
      <c r="U383" s="249">
        <f t="shared" si="191"/>
        <v>0</v>
      </c>
      <c r="V383" s="248">
        <f t="shared" si="191"/>
        <v>39133394.049999997</v>
      </c>
      <c r="W383" s="248">
        <f t="shared" si="191"/>
        <v>0</v>
      </c>
      <c r="X383" s="473">
        <f t="shared" si="191"/>
        <v>0</v>
      </c>
      <c r="Y383" s="248">
        <f t="shared" si="191"/>
        <v>0</v>
      </c>
      <c r="Z383" s="249">
        <f t="shared" si="191"/>
        <v>930521</v>
      </c>
      <c r="AA383" s="248">
        <f t="shared" si="191"/>
        <v>0</v>
      </c>
      <c r="AB383" s="248">
        <f t="shared" si="191"/>
        <v>930521</v>
      </c>
    </row>
    <row r="384" spans="1:28" ht="38.25" x14ac:dyDescent="0.2">
      <c r="A384" s="207" t="s">
        <v>216</v>
      </c>
      <c r="B384" s="58" t="s">
        <v>109</v>
      </c>
      <c r="C384" s="58" t="s">
        <v>71</v>
      </c>
      <c r="D384" s="59" t="s">
        <v>100</v>
      </c>
      <c r="E384" s="60" t="s">
        <v>71</v>
      </c>
      <c r="F384" s="60" t="s">
        <v>135</v>
      </c>
      <c r="G384" s="66" t="s">
        <v>135</v>
      </c>
      <c r="H384" s="66" t="s">
        <v>135</v>
      </c>
      <c r="I384" s="60" t="s">
        <v>217</v>
      </c>
      <c r="J384" s="67" t="s">
        <v>135</v>
      </c>
      <c r="K384" s="408"/>
      <c r="L384" s="397"/>
      <c r="M384" s="423"/>
      <c r="N384" s="248">
        <f t="shared" si="190"/>
        <v>0</v>
      </c>
      <c r="O384" s="248">
        <f t="shared" si="190"/>
        <v>0</v>
      </c>
      <c r="P384" s="248">
        <f t="shared" si="190"/>
        <v>0</v>
      </c>
      <c r="Q384" s="443">
        <f t="shared" si="190"/>
        <v>0</v>
      </c>
      <c r="R384" s="463">
        <f t="shared" si="190"/>
        <v>0</v>
      </c>
      <c r="S384" s="248">
        <f t="shared" si="190"/>
        <v>0</v>
      </c>
      <c r="T384" s="248">
        <f t="shared" si="190"/>
        <v>0</v>
      </c>
      <c r="U384" s="443">
        <f t="shared" si="190"/>
        <v>0</v>
      </c>
      <c r="V384" s="430">
        <f t="shared" si="190"/>
        <v>930521</v>
      </c>
      <c r="W384" s="492">
        <f t="shared" si="190"/>
        <v>0</v>
      </c>
      <c r="X384" s="540">
        <f t="shared" si="190"/>
        <v>0</v>
      </c>
      <c r="Y384" s="463">
        <f t="shared" si="190"/>
        <v>0</v>
      </c>
      <c r="Z384" s="542">
        <f t="shared" si="190"/>
        <v>930521</v>
      </c>
      <c r="AA384" s="430">
        <f t="shared" si="190"/>
        <v>0</v>
      </c>
      <c r="AB384" s="430">
        <f t="shared" si="190"/>
        <v>930521</v>
      </c>
    </row>
    <row r="385" spans="1:28" ht="25.5" x14ac:dyDescent="0.2">
      <c r="A385" s="258" t="s">
        <v>126</v>
      </c>
      <c r="B385" s="58" t="s">
        <v>109</v>
      </c>
      <c r="C385" s="58" t="s">
        <v>71</v>
      </c>
      <c r="D385" s="59" t="s">
        <v>100</v>
      </c>
      <c r="E385" s="60" t="s">
        <v>71</v>
      </c>
      <c r="F385" s="60" t="s">
        <v>135</v>
      </c>
      <c r="G385" s="66" t="s">
        <v>135</v>
      </c>
      <c r="H385" s="66" t="s">
        <v>135</v>
      </c>
      <c r="I385" s="60" t="s">
        <v>217</v>
      </c>
      <c r="J385" s="67" t="s">
        <v>135</v>
      </c>
      <c r="K385" s="408" t="s">
        <v>53</v>
      </c>
      <c r="L385" s="397"/>
      <c r="M385" s="423"/>
      <c r="N385" s="248">
        <f t="shared" si="190"/>
        <v>0</v>
      </c>
      <c r="O385" s="248">
        <f t="shared" si="190"/>
        <v>0</v>
      </c>
      <c r="P385" s="248">
        <f t="shared" si="190"/>
        <v>0</v>
      </c>
      <c r="Q385" s="443">
        <f t="shared" si="190"/>
        <v>0</v>
      </c>
      <c r="R385" s="463">
        <f t="shared" si="190"/>
        <v>0</v>
      </c>
      <c r="S385" s="248">
        <f t="shared" si="190"/>
        <v>0</v>
      </c>
      <c r="T385" s="248">
        <f t="shared" si="190"/>
        <v>0</v>
      </c>
      <c r="U385" s="443">
        <f t="shared" si="190"/>
        <v>0</v>
      </c>
      <c r="V385" s="430">
        <f t="shared" si="190"/>
        <v>930521</v>
      </c>
      <c r="W385" s="492">
        <f t="shared" si="190"/>
        <v>0</v>
      </c>
      <c r="X385" s="540">
        <f t="shared" si="190"/>
        <v>0</v>
      </c>
      <c r="Y385" s="463">
        <f t="shared" si="190"/>
        <v>0</v>
      </c>
      <c r="Z385" s="542">
        <f t="shared" si="190"/>
        <v>930521</v>
      </c>
      <c r="AA385" s="430">
        <f t="shared" si="190"/>
        <v>0</v>
      </c>
      <c r="AB385" s="430">
        <f t="shared" si="190"/>
        <v>930521</v>
      </c>
    </row>
    <row r="386" spans="1:28" ht="25.5" x14ac:dyDescent="0.2">
      <c r="A386" s="258" t="s">
        <v>54</v>
      </c>
      <c r="B386" s="58" t="s">
        <v>109</v>
      </c>
      <c r="C386" s="58" t="s">
        <v>71</v>
      </c>
      <c r="D386" s="59" t="s">
        <v>100</v>
      </c>
      <c r="E386" s="60" t="s">
        <v>71</v>
      </c>
      <c r="F386" s="60" t="s">
        <v>135</v>
      </c>
      <c r="G386" s="66" t="s">
        <v>135</v>
      </c>
      <c r="H386" s="66" t="s">
        <v>135</v>
      </c>
      <c r="I386" s="60" t="s">
        <v>217</v>
      </c>
      <c r="J386" s="67" t="s">
        <v>135</v>
      </c>
      <c r="K386" s="408" t="s">
        <v>55</v>
      </c>
      <c r="L386" s="397"/>
      <c r="M386" s="423"/>
      <c r="N386" s="248">
        <v>0</v>
      </c>
      <c r="O386" s="248">
        <v>0</v>
      </c>
      <c r="P386" s="248">
        <v>0</v>
      </c>
      <c r="Q386" s="443">
        <v>0</v>
      </c>
      <c r="R386" s="463">
        <v>0</v>
      </c>
      <c r="S386" s="248">
        <v>0</v>
      </c>
      <c r="T386" s="248">
        <v>0</v>
      </c>
      <c r="U386" s="443">
        <v>0</v>
      </c>
      <c r="V386" s="430">
        <v>930521</v>
      </c>
      <c r="W386" s="492">
        <v>0</v>
      </c>
      <c r="X386" s="540">
        <v>0</v>
      </c>
      <c r="Y386" s="463">
        <v>0</v>
      </c>
      <c r="Z386" s="542">
        <v>930521</v>
      </c>
      <c r="AA386" s="430">
        <v>0</v>
      </c>
      <c r="AB386" s="430">
        <v>930521</v>
      </c>
    </row>
    <row r="387" spans="1:28" ht="65.25" customHeight="1" x14ac:dyDescent="0.2">
      <c r="A387" s="212" t="s">
        <v>347</v>
      </c>
      <c r="B387" s="59" t="s">
        <v>109</v>
      </c>
      <c r="C387" s="58" t="s">
        <v>71</v>
      </c>
      <c r="D387" s="59" t="s">
        <v>100</v>
      </c>
      <c r="E387" s="60" t="s">
        <v>71</v>
      </c>
      <c r="F387" s="60" t="s">
        <v>135</v>
      </c>
      <c r="G387" s="66" t="s">
        <v>135</v>
      </c>
      <c r="H387" s="66" t="s">
        <v>135</v>
      </c>
      <c r="I387" s="66" t="s">
        <v>389</v>
      </c>
      <c r="J387" s="67" t="s">
        <v>135</v>
      </c>
      <c r="K387" s="260"/>
      <c r="L387" s="68">
        <f t="shared" ref="L387:AB388" si="192">L388</f>
        <v>9973757.5099999998</v>
      </c>
      <c r="M387" s="69">
        <f t="shared" si="192"/>
        <v>0</v>
      </c>
      <c r="N387" s="216">
        <f t="shared" si="192"/>
        <v>0</v>
      </c>
      <c r="O387" s="215">
        <f t="shared" si="192"/>
        <v>0</v>
      </c>
      <c r="P387" s="216">
        <f t="shared" si="192"/>
        <v>0</v>
      </c>
      <c r="Q387" s="68">
        <f t="shared" si="192"/>
        <v>38202873.049999997</v>
      </c>
      <c r="R387" s="215">
        <f t="shared" si="192"/>
        <v>0</v>
      </c>
      <c r="S387" s="216">
        <f t="shared" si="192"/>
        <v>493000</v>
      </c>
      <c r="T387" s="216">
        <f t="shared" si="192"/>
        <v>493000</v>
      </c>
      <c r="U387" s="217">
        <f t="shared" si="192"/>
        <v>0</v>
      </c>
      <c r="V387" s="217">
        <f t="shared" si="192"/>
        <v>38202873.049999997</v>
      </c>
      <c r="W387" s="215">
        <f t="shared" si="192"/>
        <v>0</v>
      </c>
      <c r="X387" s="215">
        <f t="shared" si="192"/>
        <v>0</v>
      </c>
      <c r="Y387" s="216">
        <f t="shared" si="192"/>
        <v>0</v>
      </c>
      <c r="Z387" s="217">
        <f t="shared" si="192"/>
        <v>0</v>
      </c>
      <c r="AA387" s="216">
        <f t="shared" si="192"/>
        <v>0</v>
      </c>
      <c r="AB387" s="216">
        <f t="shared" si="192"/>
        <v>0</v>
      </c>
    </row>
    <row r="388" spans="1:28" ht="25.5" x14ac:dyDescent="0.2">
      <c r="A388" s="212" t="s">
        <v>52</v>
      </c>
      <c r="B388" s="58" t="s">
        <v>109</v>
      </c>
      <c r="C388" s="58" t="s">
        <v>71</v>
      </c>
      <c r="D388" s="59" t="s">
        <v>100</v>
      </c>
      <c r="E388" s="60" t="s">
        <v>71</v>
      </c>
      <c r="F388" s="60" t="s">
        <v>135</v>
      </c>
      <c r="G388" s="66" t="s">
        <v>135</v>
      </c>
      <c r="H388" s="66" t="s">
        <v>135</v>
      </c>
      <c r="I388" s="66" t="s">
        <v>389</v>
      </c>
      <c r="J388" s="67" t="s">
        <v>135</v>
      </c>
      <c r="K388" s="291" t="s">
        <v>53</v>
      </c>
      <c r="L388" s="68">
        <f t="shared" si="192"/>
        <v>9973757.5099999998</v>
      </c>
      <c r="M388" s="69">
        <f t="shared" si="192"/>
        <v>0</v>
      </c>
      <c r="N388" s="216">
        <f t="shared" si="192"/>
        <v>0</v>
      </c>
      <c r="O388" s="216">
        <f t="shared" si="192"/>
        <v>0</v>
      </c>
      <c r="P388" s="216">
        <f t="shared" si="192"/>
        <v>0</v>
      </c>
      <c r="Q388" s="68">
        <f t="shared" si="192"/>
        <v>38202873.049999997</v>
      </c>
      <c r="R388" s="215">
        <f t="shared" si="192"/>
        <v>0</v>
      </c>
      <c r="S388" s="216">
        <f t="shared" si="192"/>
        <v>493000</v>
      </c>
      <c r="T388" s="216">
        <f t="shared" si="192"/>
        <v>493000</v>
      </c>
      <c r="U388" s="217">
        <f t="shared" si="192"/>
        <v>0</v>
      </c>
      <c r="V388" s="217">
        <f t="shared" si="192"/>
        <v>38202873.049999997</v>
      </c>
      <c r="W388" s="215">
        <f t="shared" si="192"/>
        <v>0</v>
      </c>
      <c r="X388" s="215">
        <f t="shared" si="192"/>
        <v>0</v>
      </c>
      <c r="Y388" s="216">
        <f t="shared" si="192"/>
        <v>0</v>
      </c>
      <c r="Z388" s="217">
        <f t="shared" si="192"/>
        <v>0</v>
      </c>
      <c r="AA388" s="216">
        <f t="shared" si="192"/>
        <v>0</v>
      </c>
      <c r="AB388" s="216">
        <f t="shared" si="192"/>
        <v>0</v>
      </c>
    </row>
    <row r="389" spans="1:28" ht="25.5" x14ac:dyDescent="0.2">
      <c r="A389" s="212" t="s">
        <v>54</v>
      </c>
      <c r="B389" s="58" t="s">
        <v>109</v>
      </c>
      <c r="C389" s="58" t="s">
        <v>71</v>
      </c>
      <c r="D389" s="59" t="s">
        <v>100</v>
      </c>
      <c r="E389" s="60" t="s">
        <v>71</v>
      </c>
      <c r="F389" s="60" t="s">
        <v>135</v>
      </c>
      <c r="G389" s="66" t="s">
        <v>135</v>
      </c>
      <c r="H389" s="66" t="s">
        <v>135</v>
      </c>
      <c r="I389" s="66" t="s">
        <v>389</v>
      </c>
      <c r="J389" s="67" t="s">
        <v>135</v>
      </c>
      <c r="K389" s="291" t="s">
        <v>55</v>
      </c>
      <c r="L389" s="68">
        <v>9973757.5099999998</v>
      </c>
      <c r="M389" s="69">
        <v>0</v>
      </c>
      <c r="N389" s="216">
        <v>0</v>
      </c>
      <c r="O389" s="216">
        <v>0</v>
      </c>
      <c r="P389" s="216">
        <v>0</v>
      </c>
      <c r="Q389" s="68">
        <v>38202873.049999997</v>
      </c>
      <c r="R389" s="216">
        <v>0</v>
      </c>
      <c r="S389" s="216">
        <v>493000</v>
      </c>
      <c r="T389" s="216">
        <f>S389+P389</f>
        <v>493000</v>
      </c>
      <c r="U389" s="217">
        <v>0</v>
      </c>
      <c r="V389" s="217">
        <v>38202873.049999997</v>
      </c>
      <c r="W389" s="215">
        <v>0</v>
      </c>
      <c r="X389" s="215">
        <v>0</v>
      </c>
      <c r="Y389" s="216">
        <v>0</v>
      </c>
      <c r="Z389" s="217">
        <v>0</v>
      </c>
      <c r="AA389" s="216">
        <v>0</v>
      </c>
      <c r="AB389" s="216">
        <v>0</v>
      </c>
    </row>
    <row r="390" spans="1:28" ht="34.5" customHeight="1" x14ac:dyDescent="0.2">
      <c r="A390" s="207" t="s">
        <v>394</v>
      </c>
      <c r="B390" s="58" t="s">
        <v>109</v>
      </c>
      <c r="C390" s="58" t="s">
        <v>71</v>
      </c>
      <c r="D390" s="59" t="s">
        <v>100</v>
      </c>
      <c r="E390" s="79" t="s">
        <v>194</v>
      </c>
      <c r="F390" s="79" t="s">
        <v>135</v>
      </c>
      <c r="G390" s="66" t="s">
        <v>135</v>
      </c>
      <c r="H390" s="66" t="s">
        <v>135</v>
      </c>
      <c r="I390" s="79" t="s">
        <v>136</v>
      </c>
      <c r="J390" s="67" t="s">
        <v>135</v>
      </c>
      <c r="K390" s="291"/>
      <c r="L390" s="64">
        <f>L391</f>
        <v>2073576.66</v>
      </c>
      <c r="M390" s="65">
        <f>M391</f>
        <v>0</v>
      </c>
      <c r="N390" s="224">
        <f t="shared" ref="N390:Z390" si="193">N391+N396</f>
        <v>5301879.57</v>
      </c>
      <c r="O390" s="224">
        <f t="shared" si="193"/>
        <v>0</v>
      </c>
      <c r="P390" s="224">
        <f t="shared" si="193"/>
        <v>5301879.57</v>
      </c>
      <c r="Q390" s="64">
        <f t="shared" si="193"/>
        <v>3815212.0200000005</v>
      </c>
      <c r="R390" s="224">
        <f t="shared" si="193"/>
        <v>0</v>
      </c>
      <c r="S390" s="224">
        <f>S391+S396</f>
        <v>0</v>
      </c>
      <c r="T390" s="224">
        <f>T391+T396</f>
        <v>5301879.57</v>
      </c>
      <c r="U390" s="64">
        <f t="shared" si="193"/>
        <v>3815212.0200000005</v>
      </c>
      <c r="V390" s="224">
        <f t="shared" si="193"/>
        <v>3815212.0200000005</v>
      </c>
      <c r="W390" s="223">
        <f t="shared" si="193"/>
        <v>0</v>
      </c>
      <c r="X390" s="223">
        <f>X391+X396</f>
        <v>0</v>
      </c>
      <c r="Y390" s="224">
        <f>Y391+Y396</f>
        <v>3815212.0200000005</v>
      </c>
      <c r="Z390" s="225">
        <f t="shared" si="193"/>
        <v>3815212.0200000005</v>
      </c>
      <c r="AA390" s="224">
        <f>AA391+AA396</f>
        <v>0</v>
      </c>
      <c r="AB390" s="224">
        <f>AB391+AB396</f>
        <v>3815212.0200000005</v>
      </c>
    </row>
    <row r="391" spans="1:28" ht="24" customHeight="1" x14ac:dyDescent="0.2">
      <c r="A391" s="258" t="s">
        <v>195</v>
      </c>
      <c r="B391" s="58" t="s">
        <v>109</v>
      </c>
      <c r="C391" s="58" t="s">
        <v>71</v>
      </c>
      <c r="D391" s="59" t="s">
        <v>100</v>
      </c>
      <c r="E391" s="79" t="s">
        <v>194</v>
      </c>
      <c r="F391" s="79" t="s">
        <v>135</v>
      </c>
      <c r="G391" s="66" t="s">
        <v>135</v>
      </c>
      <c r="H391" s="66" t="s">
        <v>135</v>
      </c>
      <c r="I391" s="79" t="s">
        <v>169</v>
      </c>
      <c r="J391" s="67" t="s">
        <v>135</v>
      </c>
      <c r="K391" s="291"/>
      <c r="L391" s="64">
        <f>L394</f>
        <v>2073576.66</v>
      </c>
      <c r="M391" s="65">
        <f>M394</f>
        <v>0</v>
      </c>
      <c r="N391" s="224">
        <f t="shared" ref="N391:Z391" si="194">N394+N392</f>
        <v>2073600</v>
      </c>
      <c r="O391" s="224">
        <f t="shared" si="194"/>
        <v>0</v>
      </c>
      <c r="P391" s="224">
        <f t="shared" si="194"/>
        <v>2073600</v>
      </c>
      <c r="Q391" s="64">
        <f t="shared" si="194"/>
        <v>1057147.5</v>
      </c>
      <c r="R391" s="224">
        <f t="shared" si="194"/>
        <v>0</v>
      </c>
      <c r="S391" s="224">
        <f>S394+S392</f>
        <v>0</v>
      </c>
      <c r="T391" s="224">
        <f>T394+T392</f>
        <v>2073600</v>
      </c>
      <c r="U391" s="64">
        <f t="shared" si="194"/>
        <v>1057147.5</v>
      </c>
      <c r="V391" s="224">
        <f t="shared" si="194"/>
        <v>1057147.5</v>
      </c>
      <c r="W391" s="223">
        <f t="shared" si="194"/>
        <v>0</v>
      </c>
      <c r="X391" s="223">
        <f>X394+X392</f>
        <v>0</v>
      </c>
      <c r="Y391" s="224">
        <f>Y394+Y392</f>
        <v>1057147.5</v>
      </c>
      <c r="Z391" s="225">
        <f t="shared" si="194"/>
        <v>1057147.5</v>
      </c>
      <c r="AA391" s="224">
        <f>AA394+AA392</f>
        <v>0</v>
      </c>
      <c r="AB391" s="224">
        <f>AB394+AB392</f>
        <v>1057147.5</v>
      </c>
    </row>
    <row r="392" spans="1:28" ht="35.25" customHeight="1" x14ac:dyDescent="0.2">
      <c r="A392" s="258" t="s">
        <v>21</v>
      </c>
      <c r="B392" s="58" t="s">
        <v>109</v>
      </c>
      <c r="C392" s="58" t="s">
        <v>71</v>
      </c>
      <c r="D392" s="59" t="s">
        <v>100</v>
      </c>
      <c r="E392" s="79" t="s">
        <v>194</v>
      </c>
      <c r="F392" s="79" t="s">
        <v>135</v>
      </c>
      <c r="G392" s="66" t="s">
        <v>135</v>
      </c>
      <c r="H392" s="66" t="s">
        <v>135</v>
      </c>
      <c r="I392" s="79" t="s">
        <v>169</v>
      </c>
      <c r="J392" s="67" t="s">
        <v>135</v>
      </c>
      <c r="K392" s="291" t="s">
        <v>149</v>
      </c>
      <c r="L392" s="64"/>
      <c r="M392" s="65"/>
      <c r="N392" s="224">
        <f t="shared" ref="N392:AB392" si="195">N393</f>
        <v>808704</v>
      </c>
      <c r="O392" s="224">
        <f t="shared" si="195"/>
        <v>0</v>
      </c>
      <c r="P392" s="224">
        <f t="shared" si="195"/>
        <v>808704</v>
      </c>
      <c r="Q392" s="64">
        <f t="shared" si="195"/>
        <v>412287.53</v>
      </c>
      <c r="R392" s="224">
        <f t="shared" si="195"/>
        <v>0</v>
      </c>
      <c r="S392" s="224">
        <f t="shared" si="195"/>
        <v>0</v>
      </c>
      <c r="T392" s="224">
        <f t="shared" si="195"/>
        <v>808704</v>
      </c>
      <c r="U392" s="64">
        <f t="shared" si="195"/>
        <v>412287.53</v>
      </c>
      <c r="V392" s="224">
        <f t="shared" si="195"/>
        <v>412287.53</v>
      </c>
      <c r="W392" s="223">
        <f t="shared" si="195"/>
        <v>0</v>
      </c>
      <c r="X392" s="223">
        <f t="shared" si="195"/>
        <v>0</v>
      </c>
      <c r="Y392" s="224">
        <f t="shared" si="195"/>
        <v>412287.53</v>
      </c>
      <c r="Z392" s="225">
        <f t="shared" si="195"/>
        <v>412287.53</v>
      </c>
      <c r="AA392" s="224">
        <f t="shared" si="195"/>
        <v>0</v>
      </c>
      <c r="AB392" s="224">
        <f t="shared" si="195"/>
        <v>412287.53</v>
      </c>
    </row>
    <row r="393" spans="1:28" ht="57.75" customHeight="1" x14ac:dyDescent="0.2">
      <c r="A393" s="258" t="s">
        <v>209</v>
      </c>
      <c r="B393" s="58" t="s">
        <v>109</v>
      </c>
      <c r="C393" s="58" t="s">
        <v>71</v>
      </c>
      <c r="D393" s="59" t="s">
        <v>100</v>
      </c>
      <c r="E393" s="79" t="s">
        <v>194</v>
      </c>
      <c r="F393" s="79" t="s">
        <v>135</v>
      </c>
      <c r="G393" s="66" t="s">
        <v>135</v>
      </c>
      <c r="H393" s="66" t="s">
        <v>135</v>
      </c>
      <c r="I393" s="79" t="s">
        <v>169</v>
      </c>
      <c r="J393" s="67" t="s">
        <v>135</v>
      </c>
      <c r="K393" s="291" t="s">
        <v>156</v>
      </c>
      <c r="L393" s="64"/>
      <c r="M393" s="65"/>
      <c r="N393" s="224">
        <v>808704</v>
      </c>
      <c r="O393" s="224">
        <v>0</v>
      </c>
      <c r="P393" s="224">
        <v>808704</v>
      </c>
      <c r="Q393" s="64">
        <v>412287.53</v>
      </c>
      <c r="R393" s="224">
        <v>0</v>
      </c>
      <c r="S393" s="224">
        <v>0</v>
      </c>
      <c r="T393" s="224">
        <v>808704</v>
      </c>
      <c r="U393" s="64">
        <v>412287.53</v>
      </c>
      <c r="V393" s="224">
        <v>412287.53</v>
      </c>
      <c r="W393" s="223">
        <v>0</v>
      </c>
      <c r="X393" s="223">
        <v>0</v>
      </c>
      <c r="Y393" s="224">
        <v>412287.53</v>
      </c>
      <c r="Z393" s="225">
        <v>412287.53</v>
      </c>
      <c r="AA393" s="224">
        <v>0</v>
      </c>
      <c r="AB393" s="224">
        <v>412287.53</v>
      </c>
    </row>
    <row r="394" spans="1:28" x14ac:dyDescent="0.2">
      <c r="A394" s="212" t="s">
        <v>62</v>
      </c>
      <c r="B394" s="58" t="s">
        <v>109</v>
      </c>
      <c r="C394" s="58" t="s">
        <v>71</v>
      </c>
      <c r="D394" s="59" t="s">
        <v>100</v>
      </c>
      <c r="E394" s="79" t="s">
        <v>194</v>
      </c>
      <c r="F394" s="79" t="s">
        <v>135</v>
      </c>
      <c r="G394" s="66" t="s">
        <v>135</v>
      </c>
      <c r="H394" s="66" t="s">
        <v>135</v>
      </c>
      <c r="I394" s="79" t="s">
        <v>169</v>
      </c>
      <c r="J394" s="67" t="s">
        <v>135</v>
      </c>
      <c r="K394" s="291" t="s">
        <v>63</v>
      </c>
      <c r="L394" s="64">
        <f t="shared" ref="L394:AB394" si="196">L395</f>
        <v>2073576.66</v>
      </c>
      <c r="M394" s="65">
        <f t="shared" si="196"/>
        <v>0</v>
      </c>
      <c r="N394" s="224">
        <f t="shared" si="196"/>
        <v>1264896</v>
      </c>
      <c r="O394" s="224">
        <f t="shared" si="196"/>
        <v>0</v>
      </c>
      <c r="P394" s="224">
        <f t="shared" si="196"/>
        <v>1264896</v>
      </c>
      <c r="Q394" s="64">
        <f t="shared" si="196"/>
        <v>644859.97</v>
      </c>
      <c r="R394" s="224">
        <f t="shared" si="196"/>
        <v>0</v>
      </c>
      <c r="S394" s="224">
        <f t="shared" si="196"/>
        <v>0</v>
      </c>
      <c r="T394" s="224">
        <f t="shared" si="196"/>
        <v>1264896</v>
      </c>
      <c r="U394" s="64">
        <f t="shared" si="196"/>
        <v>644859.97</v>
      </c>
      <c r="V394" s="224">
        <f t="shared" si="196"/>
        <v>644859.97</v>
      </c>
      <c r="W394" s="223">
        <f t="shared" si="196"/>
        <v>0</v>
      </c>
      <c r="X394" s="223">
        <f t="shared" si="196"/>
        <v>0</v>
      </c>
      <c r="Y394" s="224">
        <f t="shared" si="196"/>
        <v>644859.97</v>
      </c>
      <c r="Z394" s="225">
        <f t="shared" si="196"/>
        <v>644859.97</v>
      </c>
      <c r="AA394" s="224">
        <f t="shared" si="196"/>
        <v>0</v>
      </c>
      <c r="AB394" s="224">
        <f t="shared" si="196"/>
        <v>644859.97</v>
      </c>
    </row>
    <row r="395" spans="1:28" ht="51" customHeight="1" x14ac:dyDescent="0.2">
      <c r="A395" s="212" t="s">
        <v>183</v>
      </c>
      <c r="B395" s="58" t="s">
        <v>109</v>
      </c>
      <c r="C395" s="58" t="s">
        <v>71</v>
      </c>
      <c r="D395" s="59" t="s">
        <v>100</v>
      </c>
      <c r="E395" s="79" t="s">
        <v>194</v>
      </c>
      <c r="F395" s="79" t="s">
        <v>135</v>
      </c>
      <c r="G395" s="66" t="s">
        <v>135</v>
      </c>
      <c r="H395" s="66" t="s">
        <v>135</v>
      </c>
      <c r="I395" s="79" t="s">
        <v>169</v>
      </c>
      <c r="J395" s="67" t="s">
        <v>135</v>
      </c>
      <c r="K395" s="291" t="s">
        <v>140</v>
      </c>
      <c r="L395" s="64">
        <v>2073576.66</v>
      </c>
      <c r="M395" s="65">
        <v>0</v>
      </c>
      <c r="N395" s="224">
        <v>1264896</v>
      </c>
      <c r="O395" s="224">
        <v>0</v>
      </c>
      <c r="P395" s="224">
        <v>1264896</v>
      </c>
      <c r="Q395" s="223">
        <v>644859.97</v>
      </c>
      <c r="R395" s="224">
        <v>0</v>
      </c>
      <c r="S395" s="224">
        <v>0</v>
      </c>
      <c r="T395" s="224">
        <v>1264896</v>
      </c>
      <c r="U395" s="225">
        <v>644859.97</v>
      </c>
      <c r="V395" s="224">
        <v>644859.97</v>
      </c>
      <c r="W395" s="223">
        <v>0</v>
      </c>
      <c r="X395" s="223">
        <v>0</v>
      </c>
      <c r="Y395" s="224">
        <v>644859.97</v>
      </c>
      <c r="Z395" s="225">
        <v>644859.97</v>
      </c>
      <c r="AA395" s="224">
        <v>0</v>
      </c>
      <c r="AB395" s="224">
        <v>644859.97</v>
      </c>
    </row>
    <row r="396" spans="1:28" ht="67.5" customHeight="1" x14ac:dyDescent="0.2">
      <c r="A396" s="258" t="s">
        <v>290</v>
      </c>
      <c r="B396" s="58" t="s">
        <v>109</v>
      </c>
      <c r="C396" s="58" t="s">
        <v>71</v>
      </c>
      <c r="D396" s="59" t="s">
        <v>100</v>
      </c>
      <c r="E396" s="66" t="s">
        <v>194</v>
      </c>
      <c r="F396" s="66" t="s">
        <v>135</v>
      </c>
      <c r="G396" s="66" t="s">
        <v>135</v>
      </c>
      <c r="H396" s="66" t="s">
        <v>135</v>
      </c>
      <c r="I396" s="66" t="s">
        <v>264</v>
      </c>
      <c r="J396" s="67" t="s">
        <v>135</v>
      </c>
      <c r="K396" s="309"/>
      <c r="L396" s="101">
        <f>L401</f>
        <v>300000</v>
      </c>
      <c r="M396" s="102">
        <f>M401</f>
        <v>0</v>
      </c>
      <c r="N396" s="248">
        <f t="shared" ref="N396:Z396" si="197">N397+N399</f>
        <v>3228279.5700000003</v>
      </c>
      <c r="O396" s="248">
        <f t="shared" si="197"/>
        <v>0</v>
      </c>
      <c r="P396" s="248">
        <f t="shared" si="197"/>
        <v>3228279.5700000003</v>
      </c>
      <c r="Q396" s="473">
        <f t="shared" si="197"/>
        <v>2758064.5200000005</v>
      </c>
      <c r="R396" s="248">
        <f t="shared" si="197"/>
        <v>0</v>
      </c>
      <c r="S396" s="248">
        <f>S397+S399</f>
        <v>0</v>
      </c>
      <c r="T396" s="248">
        <f>T397+T399</f>
        <v>3228279.5700000003</v>
      </c>
      <c r="U396" s="249">
        <f t="shared" si="197"/>
        <v>2758064.5200000005</v>
      </c>
      <c r="V396" s="248">
        <f t="shared" si="197"/>
        <v>2758064.5200000005</v>
      </c>
      <c r="W396" s="473">
        <f t="shared" si="197"/>
        <v>0</v>
      </c>
      <c r="X396" s="473">
        <f>X397+X399</f>
        <v>0</v>
      </c>
      <c r="Y396" s="248">
        <f>Y397+Y399</f>
        <v>2758064.5200000005</v>
      </c>
      <c r="Z396" s="249">
        <f t="shared" si="197"/>
        <v>2758064.5200000005</v>
      </c>
      <c r="AA396" s="248">
        <f>AA397+AA399</f>
        <v>0</v>
      </c>
      <c r="AB396" s="248">
        <f>AB397+AB399</f>
        <v>2758064.5200000005</v>
      </c>
    </row>
    <row r="397" spans="1:28" ht="42.75" customHeight="1" x14ac:dyDescent="0.2">
      <c r="A397" s="258" t="s">
        <v>21</v>
      </c>
      <c r="B397" s="58" t="s">
        <v>109</v>
      </c>
      <c r="C397" s="58" t="s">
        <v>71</v>
      </c>
      <c r="D397" s="59" t="s">
        <v>100</v>
      </c>
      <c r="E397" s="66" t="s">
        <v>194</v>
      </c>
      <c r="F397" s="66" t="s">
        <v>135</v>
      </c>
      <c r="G397" s="66" t="s">
        <v>135</v>
      </c>
      <c r="H397" s="66" t="s">
        <v>135</v>
      </c>
      <c r="I397" s="66" t="s">
        <v>264</v>
      </c>
      <c r="J397" s="67" t="s">
        <v>135</v>
      </c>
      <c r="K397" s="309" t="s">
        <v>149</v>
      </c>
      <c r="L397" s="101"/>
      <c r="M397" s="102"/>
      <c r="N397" s="248">
        <f t="shared" ref="N397:AB397" si="198">N398</f>
        <v>451959.14</v>
      </c>
      <c r="O397" s="248">
        <f t="shared" si="198"/>
        <v>0</v>
      </c>
      <c r="P397" s="248">
        <f t="shared" si="198"/>
        <v>451959.14</v>
      </c>
      <c r="Q397" s="473">
        <f t="shared" si="198"/>
        <v>386129.03</v>
      </c>
      <c r="R397" s="248">
        <f t="shared" si="198"/>
        <v>0</v>
      </c>
      <c r="S397" s="248">
        <f t="shared" si="198"/>
        <v>0</v>
      </c>
      <c r="T397" s="248">
        <f t="shared" si="198"/>
        <v>451959.14</v>
      </c>
      <c r="U397" s="249">
        <f t="shared" si="198"/>
        <v>386129.03</v>
      </c>
      <c r="V397" s="248">
        <f t="shared" si="198"/>
        <v>386129.03</v>
      </c>
      <c r="W397" s="473">
        <f t="shared" si="198"/>
        <v>0</v>
      </c>
      <c r="X397" s="473">
        <f t="shared" si="198"/>
        <v>0</v>
      </c>
      <c r="Y397" s="248">
        <f t="shared" si="198"/>
        <v>386129.03</v>
      </c>
      <c r="Z397" s="249">
        <f t="shared" si="198"/>
        <v>386129.03</v>
      </c>
      <c r="AA397" s="248">
        <f t="shared" si="198"/>
        <v>0</v>
      </c>
      <c r="AB397" s="248">
        <f t="shared" si="198"/>
        <v>386129.03</v>
      </c>
    </row>
    <row r="398" spans="1:28" ht="45" customHeight="1" x14ac:dyDescent="0.2">
      <c r="A398" s="258" t="s">
        <v>209</v>
      </c>
      <c r="B398" s="58" t="s">
        <v>109</v>
      </c>
      <c r="C398" s="58" t="s">
        <v>71</v>
      </c>
      <c r="D398" s="59" t="s">
        <v>100</v>
      </c>
      <c r="E398" s="66" t="s">
        <v>194</v>
      </c>
      <c r="F398" s="66" t="s">
        <v>135</v>
      </c>
      <c r="G398" s="66" t="s">
        <v>135</v>
      </c>
      <c r="H398" s="66" t="s">
        <v>135</v>
      </c>
      <c r="I398" s="66" t="s">
        <v>264</v>
      </c>
      <c r="J398" s="67" t="s">
        <v>135</v>
      </c>
      <c r="K398" s="214" t="s">
        <v>156</v>
      </c>
      <c r="L398" s="101"/>
      <c r="M398" s="102"/>
      <c r="N398" s="248">
        <v>451959.14</v>
      </c>
      <c r="O398" s="248">
        <v>0</v>
      </c>
      <c r="P398" s="248">
        <v>451959.14</v>
      </c>
      <c r="Q398" s="101">
        <v>386129.03</v>
      </c>
      <c r="R398" s="248">
        <v>0</v>
      </c>
      <c r="S398" s="248">
        <v>0</v>
      </c>
      <c r="T398" s="248">
        <v>451959.14</v>
      </c>
      <c r="U398" s="249">
        <v>386129.03</v>
      </c>
      <c r="V398" s="248">
        <v>386129.03</v>
      </c>
      <c r="W398" s="473">
        <v>0</v>
      </c>
      <c r="X398" s="473">
        <v>0</v>
      </c>
      <c r="Y398" s="248">
        <v>386129.03</v>
      </c>
      <c r="Z398" s="249">
        <v>386129.03</v>
      </c>
      <c r="AA398" s="248">
        <v>0</v>
      </c>
      <c r="AB398" s="248">
        <v>386129.03</v>
      </c>
    </row>
    <row r="399" spans="1:28" ht="23.25" customHeight="1" x14ac:dyDescent="0.2">
      <c r="A399" s="212" t="s">
        <v>62</v>
      </c>
      <c r="B399" s="58" t="s">
        <v>109</v>
      </c>
      <c r="C399" s="58" t="s">
        <v>71</v>
      </c>
      <c r="D399" s="59" t="s">
        <v>100</v>
      </c>
      <c r="E399" s="66" t="s">
        <v>194</v>
      </c>
      <c r="F399" s="66" t="s">
        <v>135</v>
      </c>
      <c r="G399" s="66" t="s">
        <v>135</v>
      </c>
      <c r="H399" s="66" t="s">
        <v>135</v>
      </c>
      <c r="I399" s="66" t="s">
        <v>264</v>
      </c>
      <c r="J399" s="67" t="s">
        <v>135</v>
      </c>
      <c r="K399" s="214" t="s">
        <v>63</v>
      </c>
      <c r="L399" s="101">
        <f t="shared" ref="L399:AB399" si="199">L400</f>
        <v>605700</v>
      </c>
      <c r="M399" s="102">
        <f t="shared" si="199"/>
        <v>0</v>
      </c>
      <c r="N399" s="248">
        <f t="shared" si="199"/>
        <v>2776320.43</v>
      </c>
      <c r="O399" s="248">
        <f t="shared" si="199"/>
        <v>0</v>
      </c>
      <c r="P399" s="248">
        <f t="shared" si="199"/>
        <v>2776320.43</v>
      </c>
      <c r="Q399" s="473">
        <f t="shared" si="199"/>
        <v>2371935.4900000002</v>
      </c>
      <c r="R399" s="248">
        <f t="shared" si="199"/>
        <v>0</v>
      </c>
      <c r="S399" s="248">
        <f t="shared" si="199"/>
        <v>0</v>
      </c>
      <c r="T399" s="248">
        <f t="shared" si="199"/>
        <v>2776320.43</v>
      </c>
      <c r="U399" s="249">
        <f t="shared" si="199"/>
        <v>2371935.4900000002</v>
      </c>
      <c r="V399" s="248">
        <f t="shared" si="199"/>
        <v>2371935.4900000002</v>
      </c>
      <c r="W399" s="473">
        <f t="shared" si="199"/>
        <v>0</v>
      </c>
      <c r="X399" s="473">
        <f t="shared" si="199"/>
        <v>0</v>
      </c>
      <c r="Y399" s="248">
        <f t="shared" si="199"/>
        <v>2371935.4900000002</v>
      </c>
      <c r="Z399" s="249">
        <f t="shared" si="199"/>
        <v>2371935.4900000002</v>
      </c>
      <c r="AA399" s="248">
        <f t="shared" si="199"/>
        <v>0</v>
      </c>
      <c r="AB399" s="248">
        <f t="shared" si="199"/>
        <v>2371935.4900000002</v>
      </c>
    </row>
    <row r="400" spans="1:28" ht="51" customHeight="1" x14ac:dyDescent="0.2">
      <c r="A400" s="212" t="s">
        <v>168</v>
      </c>
      <c r="B400" s="58" t="s">
        <v>109</v>
      </c>
      <c r="C400" s="58" t="s">
        <v>71</v>
      </c>
      <c r="D400" s="59" t="s">
        <v>100</v>
      </c>
      <c r="E400" s="66" t="s">
        <v>194</v>
      </c>
      <c r="F400" s="66" t="s">
        <v>135</v>
      </c>
      <c r="G400" s="66" t="s">
        <v>135</v>
      </c>
      <c r="H400" s="66" t="s">
        <v>135</v>
      </c>
      <c r="I400" s="66" t="s">
        <v>264</v>
      </c>
      <c r="J400" s="67" t="s">
        <v>135</v>
      </c>
      <c r="K400" s="214" t="s">
        <v>140</v>
      </c>
      <c r="L400" s="101">
        <v>605700</v>
      </c>
      <c r="M400" s="102">
        <v>0</v>
      </c>
      <c r="N400" s="248">
        <v>2776320.43</v>
      </c>
      <c r="O400" s="248">
        <v>0</v>
      </c>
      <c r="P400" s="248">
        <v>2776320.43</v>
      </c>
      <c r="Q400" s="473">
        <v>2371935.4900000002</v>
      </c>
      <c r="R400" s="248">
        <v>0</v>
      </c>
      <c r="S400" s="248">
        <v>0</v>
      </c>
      <c r="T400" s="248">
        <v>2776320.43</v>
      </c>
      <c r="U400" s="249">
        <v>2371935.4900000002</v>
      </c>
      <c r="V400" s="249">
        <v>2371935.4900000002</v>
      </c>
      <c r="W400" s="101">
        <v>0</v>
      </c>
      <c r="X400" s="473">
        <v>0</v>
      </c>
      <c r="Y400" s="248">
        <v>2371935.4900000002</v>
      </c>
      <c r="Z400" s="249">
        <v>2371935.4900000002</v>
      </c>
      <c r="AA400" s="249">
        <v>0</v>
      </c>
      <c r="AB400" s="249">
        <v>2371935.4900000002</v>
      </c>
    </row>
    <row r="401" spans="1:28" x14ac:dyDescent="0.2">
      <c r="A401" s="400" t="s">
        <v>77</v>
      </c>
      <c r="B401" s="58" t="s">
        <v>109</v>
      </c>
      <c r="C401" s="58" t="s">
        <v>73</v>
      </c>
      <c r="D401" s="59"/>
      <c r="E401" s="60"/>
      <c r="F401" s="60"/>
      <c r="G401" s="66"/>
      <c r="H401" s="66"/>
      <c r="I401" s="60"/>
      <c r="J401" s="76"/>
      <c r="K401" s="246"/>
      <c r="L401" s="101">
        <f>L410</f>
        <v>300000</v>
      </c>
      <c r="M401" s="102">
        <f>M410</f>
        <v>0</v>
      </c>
      <c r="N401" s="248">
        <f t="shared" ref="N401:Z401" si="200">N410+N402</f>
        <v>0</v>
      </c>
      <c r="O401" s="248">
        <f t="shared" si="200"/>
        <v>0</v>
      </c>
      <c r="P401" s="248">
        <f t="shared" si="200"/>
        <v>3950000</v>
      </c>
      <c r="Q401" s="473">
        <f t="shared" si="200"/>
        <v>21160578.550000001</v>
      </c>
      <c r="R401" s="248">
        <f t="shared" si="200"/>
        <v>0</v>
      </c>
      <c r="S401" s="248">
        <f>S410+S402</f>
        <v>-1950000</v>
      </c>
      <c r="T401" s="248">
        <f>T410+T402</f>
        <v>2000000</v>
      </c>
      <c r="U401" s="249">
        <f t="shared" si="200"/>
        <v>19060578.550000001</v>
      </c>
      <c r="V401" s="248">
        <f t="shared" si="200"/>
        <v>9769773.4199999999</v>
      </c>
      <c r="W401" s="473">
        <f t="shared" si="200"/>
        <v>0</v>
      </c>
      <c r="X401" s="473">
        <f>X410+X402</f>
        <v>0</v>
      </c>
      <c r="Y401" s="248">
        <f>Y410+Y402</f>
        <v>19060578.550000001</v>
      </c>
      <c r="Z401" s="249">
        <f t="shared" si="200"/>
        <v>9769773.4199999999</v>
      </c>
      <c r="AA401" s="248">
        <f>AA410+AA402</f>
        <v>0</v>
      </c>
      <c r="AB401" s="248">
        <f>AB410+AB402</f>
        <v>9769773.4199999999</v>
      </c>
    </row>
    <row r="402" spans="1:28" x14ac:dyDescent="0.2">
      <c r="A402" s="400" t="s">
        <v>130</v>
      </c>
      <c r="B402" s="58" t="s">
        <v>109</v>
      </c>
      <c r="C402" s="59" t="s">
        <v>73</v>
      </c>
      <c r="D402" s="58" t="s">
        <v>69</v>
      </c>
      <c r="E402" s="58"/>
      <c r="F402" s="60"/>
      <c r="G402" s="66"/>
      <c r="H402" s="66"/>
      <c r="I402" s="60"/>
      <c r="J402" s="76"/>
      <c r="K402" s="246"/>
      <c r="L402" s="101"/>
      <c r="M402" s="102"/>
      <c r="N402" s="248">
        <f>N403+N410</f>
        <v>0</v>
      </c>
      <c r="O402" s="248">
        <f>O403+O410</f>
        <v>0</v>
      </c>
      <c r="P402" s="248">
        <f>P403+P410</f>
        <v>3950000</v>
      </c>
      <c r="Q402" s="473">
        <f t="shared" ref="Q402:AB402" si="201">Q403</f>
        <v>4200000</v>
      </c>
      <c r="R402" s="248">
        <f t="shared" si="201"/>
        <v>0</v>
      </c>
      <c r="S402" s="248">
        <f>S403+S410</f>
        <v>-1950000</v>
      </c>
      <c r="T402" s="248">
        <f>T403+T410</f>
        <v>2000000</v>
      </c>
      <c r="U402" s="249">
        <f t="shared" si="201"/>
        <v>2100000</v>
      </c>
      <c r="V402" s="248">
        <f t="shared" si="201"/>
        <v>0</v>
      </c>
      <c r="W402" s="473">
        <f t="shared" si="201"/>
        <v>0</v>
      </c>
      <c r="X402" s="473">
        <f t="shared" si="201"/>
        <v>0</v>
      </c>
      <c r="Y402" s="248">
        <f t="shared" si="201"/>
        <v>2100000</v>
      </c>
      <c r="Z402" s="249">
        <f t="shared" si="201"/>
        <v>0</v>
      </c>
      <c r="AA402" s="248">
        <f t="shared" si="201"/>
        <v>0</v>
      </c>
      <c r="AB402" s="248">
        <f t="shared" si="201"/>
        <v>0</v>
      </c>
    </row>
    <row r="403" spans="1:28" ht="38.25" x14ac:dyDescent="0.2">
      <c r="A403" s="226" t="s">
        <v>338</v>
      </c>
      <c r="B403" s="58" t="s">
        <v>109</v>
      </c>
      <c r="C403" s="59" t="s">
        <v>73</v>
      </c>
      <c r="D403" s="58" t="s">
        <v>69</v>
      </c>
      <c r="E403" s="105" t="s">
        <v>71</v>
      </c>
      <c r="F403" s="60" t="s">
        <v>135</v>
      </c>
      <c r="G403" s="66" t="s">
        <v>135</v>
      </c>
      <c r="H403" s="66" t="s">
        <v>135</v>
      </c>
      <c r="I403" s="66" t="s">
        <v>136</v>
      </c>
      <c r="J403" s="67" t="s">
        <v>135</v>
      </c>
      <c r="K403" s="214"/>
      <c r="L403" s="101"/>
      <c r="M403" s="102"/>
      <c r="N403" s="248">
        <f>N404</f>
        <v>0</v>
      </c>
      <c r="O403" s="248">
        <f>O404</f>
        <v>0</v>
      </c>
      <c r="P403" s="248">
        <f>P404+P407</f>
        <v>3950000</v>
      </c>
      <c r="Q403" s="248">
        <f t="shared" ref="Q403:AB403" si="202">Q404+Q407</f>
        <v>4200000</v>
      </c>
      <c r="R403" s="248">
        <f t="shared" si="202"/>
        <v>0</v>
      </c>
      <c r="S403" s="248">
        <f t="shared" si="202"/>
        <v>-1950000</v>
      </c>
      <c r="T403" s="248">
        <f t="shared" si="202"/>
        <v>2000000</v>
      </c>
      <c r="U403" s="249">
        <f t="shared" si="202"/>
        <v>2100000</v>
      </c>
      <c r="V403" s="248">
        <f t="shared" si="202"/>
        <v>0</v>
      </c>
      <c r="W403" s="248">
        <f t="shared" si="202"/>
        <v>0</v>
      </c>
      <c r="X403" s="473">
        <f t="shared" si="202"/>
        <v>0</v>
      </c>
      <c r="Y403" s="248">
        <f t="shared" si="202"/>
        <v>2100000</v>
      </c>
      <c r="Z403" s="249">
        <f t="shared" si="202"/>
        <v>0</v>
      </c>
      <c r="AA403" s="248">
        <f t="shared" si="202"/>
        <v>0</v>
      </c>
      <c r="AB403" s="248">
        <f t="shared" si="202"/>
        <v>0</v>
      </c>
    </row>
    <row r="404" spans="1:28" ht="25.5" x14ac:dyDescent="0.2">
      <c r="A404" s="277" t="s">
        <v>176</v>
      </c>
      <c r="B404" s="58" t="s">
        <v>109</v>
      </c>
      <c r="C404" s="59" t="s">
        <v>73</v>
      </c>
      <c r="D404" s="58" t="s">
        <v>69</v>
      </c>
      <c r="E404" s="103" t="s">
        <v>71</v>
      </c>
      <c r="F404" s="60" t="s">
        <v>135</v>
      </c>
      <c r="G404" s="66" t="s">
        <v>135</v>
      </c>
      <c r="H404" s="66" t="s">
        <v>135</v>
      </c>
      <c r="I404" s="66" t="s">
        <v>175</v>
      </c>
      <c r="J404" s="67" t="s">
        <v>135</v>
      </c>
      <c r="K404" s="214"/>
      <c r="L404" s="101"/>
      <c r="M404" s="102"/>
      <c r="N404" s="248">
        <f t="shared" ref="N404:AB408" si="203">N405</f>
        <v>0</v>
      </c>
      <c r="O404" s="248">
        <f t="shared" si="203"/>
        <v>0</v>
      </c>
      <c r="P404" s="248">
        <f>P405</f>
        <v>0</v>
      </c>
      <c r="Q404" s="473">
        <f t="shared" si="203"/>
        <v>2100000</v>
      </c>
      <c r="R404" s="248">
        <f t="shared" si="203"/>
        <v>0</v>
      </c>
      <c r="S404" s="248">
        <f t="shared" si="203"/>
        <v>0</v>
      </c>
      <c r="T404" s="248">
        <f t="shared" si="203"/>
        <v>0</v>
      </c>
      <c r="U404" s="249">
        <f t="shared" si="203"/>
        <v>2100000</v>
      </c>
      <c r="V404" s="445">
        <f t="shared" si="203"/>
        <v>0</v>
      </c>
      <c r="W404" s="101">
        <f t="shared" si="203"/>
        <v>0</v>
      </c>
      <c r="X404" s="473">
        <f t="shared" si="203"/>
        <v>0</v>
      </c>
      <c r="Y404" s="248">
        <f t="shared" si="203"/>
        <v>2100000</v>
      </c>
      <c r="Z404" s="249">
        <f t="shared" si="203"/>
        <v>0</v>
      </c>
      <c r="AA404" s="249">
        <f t="shared" si="203"/>
        <v>0</v>
      </c>
      <c r="AB404" s="249">
        <f t="shared" si="203"/>
        <v>0</v>
      </c>
    </row>
    <row r="405" spans="1:28" ht="25.5" x14ac:dyDescent="0.2">
      <c r="A405" s="207" t="s">
        <v>187</v>
      </c>
      <c r="B405" s="58" t="s">
        <v>109</v>
      </c>
      <c r="C405" s="59" t="s">
        <v>73</v>
      </c>
      <c r="D405" s="58" t="s">
        <v>69</v>
      </c>
      <c r="E405" s="103" t="s">
        <v>71</v>
      </c>
      <c r="F405" s="66" t="s">
        <v>135</v>
      </c>
      <c r="G405" s="66" t="s">
        <v>135</v>
      </c>
      <c r="H405" s="66" t="s">
        <v>135</v>
      </c>
      <c r="I405" s="66" t="s">
        <v>175</v>
      </c>
      <c r="J405" s="67" t="s">
        <v>135</v>
      </c>
      <c r="K405" s="214" t="s">
        <v>160</v>
      </c>
      <c r="L405" s="101"/>
      <c r="M405" s="102"/>
      <c r="N405" s="248">
        <f t="shared" si="203"/>
        <v>0</v>
      </c>
      <c r="O405" s="248">
        <f t="shared" si="203"/>
        <v>0</v>
      </c>
      <c r="P405" s="248">
        <f t="shared" si="203"/>
        <v>0</v>
      </c>
      <c r="Q405" s="473">
        <f t="shared" si="203"/>
        <v>2100000</v>
      </c>
      <c r="R405" s="248">
        <f t="shared" si="203"/>
        <v>0</v>
      </c>
      <c r="S405" s="248">
        <f t="shared" si="203"/>
        <v>0</v>
      </c>
      <c r="T405" s="248">
        <f t="shared" si="203"/>
        <v>0</v>
      </c>
      <c r="U405" s="249">
        <f t="shared" si="203"/>
        <v>2100000</v>
      </c>
      <c r="V405" s="445">
        <f t="shared" si="203"/>
        <v>0</v>
      </c>
      <c r="W405" s="101">
        <f t="shared" si="203"/>
        <v>0</v>
      </c>
      <c r="X405" s="473">
        <f t="shared" si="203"/>
        <v>0</v>
      </c>
      <c r="Y405" s="248">
        <f t="shared" si="203"/>
        <v>2100000</v>
      </c>
      <c r="Z405" s="249">
        <f t="shared" si="203"/>
        <v>0</v>
      </c>
      <c r="AA405" s="249">
        <f t="shared" si="203"/>
        <v>0</v>
      </c>
      <c r="AB405" s="249">
        <f t="shared" si="203"/>
        <v>0</v>
      </c>
    </row>
    <row r="406" spans="1:28" x14ac:dyDescent="0.2">
      <c r="A406" s="258" t="s">
        <v>162</v>
      </c>
      <c r="B406" s="58" t="s">
        <v>109</v>
      </c>
      <c r="C406" s="59" t="s">
        <v>73</v>
      </c>
      <c r="D406" s="58" t="s">
        <v>69</v>
      </c>
      <c r="E406" s="103" t="s">
        <v>71</v>
      </c>
      <c r="F406" s="70" t="s">
        <v>135</v>
      </c>
      <c r="G406" s="66" t="s">
        <v>135</v>
      </c>
      <c r="H406" s="66" t="s">
        <v>135</v>
      </c>
      <c r="I406" s="66" t="s">
        <v>175</v>
      </c>
      <c r="J406" s="67" t="s">
        <v>135</v>
      </c>
      <c r="K406" s="214" t="s">
        <v>161</v>
      </c>
      <c r="L406" s="101"/>
      <c r="M406" s="102"/>
      <c r="N406" s="248">
        <v>0</v>
      </c>
      <c r="O406" s="248">
        <v>0</v>
      </c>
      <c r="P406" s="248">
        <v>0</v>
      </c>
      <c r="Q406" s="473">
        <v>2100000</v>
      </c>
      <c r="R406" s="248">
        <v>0</v>
      </c>
      <c r="S406" s="248">
        <v>0</v>
      </c>
      <c r="T406" s="248">
        <v>0</v>
      </c>
      <c r="U406" s="249">
        <v>2100000</v>
      </c>
      <c r="V406" s="445">
        <v>0</v>
      </c>
      <c r="W406" s="101">
        <v>0</v>
      </c>
      <c r="X406" s="473">
        <v>0</v>
      </c>
      <c r="Y406" s="248">
        <v>2100000</v>
      </c>
      <c r="Z406" s="249">
        <v>0</v>
      </c>
      <c r="AA406" s="249">
        <v>0</v>
      </c>
      <c r="AB406" s="249">
        <v>0</v>
      </c>
    </row>
    <row r="407" spans="1:28" ht="38.25" x14ac:dyDescent="0.2">
      <c r="A407" s="277" t="s">
        <v>347</v>
      </c>
      <c r="B407" s="58" t="s">
        <v>109</v>
      </c>
      <c r="C407" s="59" t="s">
        <v>73</v>
      </c>
      <c r="D407" s="58" t="s">
        <v>69</v>
      </c>
      <c r="E407" s="103" t="s">
        <v>71</v>
      </c>
      <c r="F407" s="60" t="s">
        <v>135</v>
      </c>
      <c r="G407" s="66" t="s">
        <v>135</v>
      </c>
      <c r="H407" s="66" t="s">
        <v>135</v>
      </c>
      <c r="I407" s="66" t="s">
        <v>389</v>
      </c>
      <c r="J407" s="67" t="s">
        <v>135</v>
      </c>
      <c r="K407" s="214"/>
      <c r="L407" s="101"/>
      <c r="M407" s="102"/>
      <c r="N407" s="248">
        <f t="shared" si="203"/>
        <v>0</v>
      </c>
      <c r="O407" s="248">
        <f t="shared" si="203"/>
        <v>0</v>
      </c>
      <c r="P407" s="248">
        <f t="shared" si="203"/>
        <v>3950000</v>
      </c>
      <c r="Q407" s="473">
        <f t="shared" si="203"/>
        <v>2100000</v>
      </c>
      <c r="R407" s="248">
        <f t="shared" si="203"/>
        <v>0</v>
      </c>
      <c r="S407" s="248">
        <f t="shared" si="203"/>
        <v>-1950000</v>
      </c>
      <c r="T407" s="248">
        <f t="shared" si="203"/>
        <v>2000000</v>
      </c>
      <c r="U407" s="249">
        <f t="shared" si="203"/>
        <v>0</v>
      </c>
      <c r="V407" s="445">
        <f t="shared" si="203"/>
        <v>0</v>
      </c>
      <c r="W407" s="101">
        <f t="shared" si="203"/>
        <v>0</v>
      </c>
      <c r="X407" s="473">
        <f t="shared" si="203"/>
        <v>0</v>
      </c>
      <c r="Y407" s="248">
        <f t="shared" si="203"/>
        <v>0</v>
      </c>
      <c r="Z407" s="249">
        <f t="shared" si="203"/>
        <v>0</v>
      </c>
      <c r="AA407" s="249">
        <f t="shared" si="203"/>
        <v>0</v>
      </c>
      <c r="AB407" s="249">
        <f t="shared" si="203"/>
        <v>0</v>
      </c>
    </row>
    <row r="408" spans="1:28" ht="25.5" x14ac:dyDescent="0.2">
      <c r="A408" s="207" t="s">
        <v>187</v>
      </c>
      <c r="B408" s="58" t="s">
        <v>109</v>
      </c>
      <c r="C408" s="59" t="s">
        <v>73</v>
      </c>
      <c r="D408" s="58" t="s">
        <v>69</v>
      </c>
      <c r="E408" s="103" t="s">
        <v>71</v>
      </c>
      <c r="F408" s="66" t="s">
        <v>135</v>
      </c>
      <c r="G408" s="66" t="s">
        <v>135</v>
      </c>
      <c r="H408" s="66" t="s">
        <v>135</v>
      </c>
      <c r="I408" s="66" t="s">
        <v>389</v>
      </c>
      <c r="J408" s="67" t="s">
        <v>135</v>
      </c>
      <c r="K408" s="214" t="s">
        <v>160</v>
      </c>
      <c r="L408" s="101"/>
      <c r="M408" s="102"/>
      <c r="N408" s="248">
        <f t="shared" si="203"/>
        <v>0</v>
      </c>
      <c r="O408" s="248">
        <f t="shared" si="203"/>
        <v>0</v>
      </c>
      <c r="P408" s="248">
        <f t="shared" si="203"/>
        <v>3950000</v>
      </c>
      <c r="Q408" s="473">
        <f t="shared" si="203"/>
        <v>2100000</v>
      </c>
      <c r="R408" s="248">
        <f t="shared" si="203"/>
        <v>0</v>
      </c>
      <c r="S408" s="248">
        <f t="shared" si="203"/>
        <v>-1950000</v>
      </c>
      <c r="T408" s="248">
        <f t="shared" si="203"/>
        <v>2000000</v>
      </c>
      <c r="U408" s="249">
        <f t="shared" si="203"/>
        <v>0</v>
      </c>
      <c r="V408" s="445">
        <f t="shared" si="203"/>
        <v>0</v>
      </c>
      <c r="W408" s="101">
        <f t="shared" si="203"/>
        <v>0</v>
      </c>
      <c r="X408" s="473">
        <f t="shared" si="203"/>
        <v>0</v>
      </c>
      <c r="Y408" s="248">
        <f t="shared" si="203"/>
        <v>0</v>
      </c>
      <c r="Z408" s="249">
        <f t="shared" si="203"/>
        <v>0</v>
      </c>
      <c r="AA408" s="249">
        <f t="shared" si="203"/>
        <v>0</v>
      </c>
      <c r="AB408" s="249">
        <f t="shared" si="203"/>
        <v>0</v>
      </c>
    </row>
    <row r="409" spans="1:28" x14ac:dyDescent="0.2">
      <c r="A409" s="258" t="s">
        <v>162</v>
      </c>
      <c r="B409" s="58" t="s">
        <v>109</v>
      </c>
      <c r="C409" s="59" t="s">
        <v>73</v>
      </c>
      <c r="D409" s="58" t="s">
        <v>69</v>
      </c>
      <c r="E409" s="103" t="s">
        <v>71</v>
      </c>
      <c r="F409" s="70" t="s">
        <v>135</v>
      </c>
      <c r="G409" s="66" t="s">
        <v>135</v>
      </c>
      <c r="H409" s="66" t="s">
        <v>135</v>
      </c>
      <c r="I409" s="66" t="s">
        <v>389</v>
      </c>
      <c r="J409" s="67" t="s">
        <v>135</v>
      </c>
      <c r="K409" s="214" t="s">
        <v>161</v>
      </c>
      <c r="L409" s="101"/>
      <c r="M409" s="102"/>
      <c r="N409" s="248">
        <v>0</v>
      </c>
      <c r="O409" s="248">
        <v>0</v>
      </c>
      <c r="P409" s="248">
        <v>3950000</v>
      </c>
      <c r="Q409" s="473">
        <v>2100000</v>
      </c>
      <c r="R409" s="248">
        <v>0</v>
      </c>
      <c r="S409" s="248">
        <v>-1950000</v>
      </c>
      <c r="T409" s="248">
        <f>S409+P409</f>
        <v>2000000</v>
      </c>
      <c r="U409" s="249">
        <v>0</v>
      </c>
      <c r="V409" s="445">
        <v>0</v>
      </c>
      <c r="W409" s="101">
        <v>0</v>
      </c>
      <c r="X409" s="473">
        <v>0</v>
      </c>
      <c r="Y409" s="248">
        <v>0</v>
      </c>
      <c r="Z409" s="249">
        <v>0</v>
      </c>
      <c r="AA409" s="249">
        <v>0</v>
      </c>
      <c r="AB409" s="249">
        <v>0</v>
      </c>
    </row>
    <row r="410" spans="1:28" x14ac:dyDescent="0.2">
      <c r="A410" s="400" t="s">
        <v>89</v>
      </c>
      <c r="B410" s="58" t="s">
        <v>109</v>
      </c>
      <c r="C410" s="58" t="s">
        <v>73</v>
      </c>
      <c r="D410" s="59" t="s">
        <v>76</v>
      </c>
      <c r="E410" s="60"/>
      <c r="F410" s="60"/>
      <c r="G410" s="66"/>
      <c r="H410" s="66"/>
      <c r="I410" s="60"/>
      <c r="J410" s="67"/>
      <c r="K410" s="246"/>
      <c r="L410" s="101">
        <f t="shared" ref="L410:P413" si="204">L411</f>
        <v>300000</v>
      </c>
      <c r="M410" s="102">
        <f t="shared" si="204"/>
        <v>0</v>
      </c>
      <c r="N410" s="248">
        <f t="shared" ref="N410:U410" si="205">N411</f>
        <v>0</v>
      </c>
      <c r="O410" s="248">
        <f t="shared" si="205"/>
        <v>0</v>
      </c>
      <c r="P410" s="248">
        <f t="shared" si="205"/>
        <v>0</v>
      </c>
      <c r="Q410" s="473">
        <f t="shared" si="205"/>
        <v>16960578.550000001</v>
      </c>
      <c r="R410" s="248">
        <f t="shared" si="205"/>
        <v>0</v>
      </c>
      <c r="S410" s="248">
        <f t="shared" si="205"/>
        <v>0</v>
      </c>
      <c r="T410" s="248">
        <f t="shared" si="205"/>
        <v>0</v>
      </c>
      <c r="U410" s="249">
        <f t="shared" si="205"/>
        <v>16960578.550000001</v>
      </c>
      <c r="V410" s="249">
        <f t="shared" ref="Q410:AB413" si="206">V411</f>
        <v>9769773.4199999999</v>
      </c>
      <c r="W410" s="101">
        <f t="shared" si="206"/>
        <v>0</v>
      </c>
      <c r="X410" s="473">
        <f t="shared" si="206"/>
        <v>0</v>
      </c>
      <c r="Y410" s="248">
        <f t="shared" si="206"/>
        <v>16960578.550000001</v>
      </c>
      <c r="Z410" s="249">
        <f t="shared" si="206"/>
        <v>9769773.4199999999</v>
      </c>
      <c r="AA410" s="249">
        <f t="shared" si="206"/>
        <v>0</v>
      </c>
      <c r="AB410" s="249">
        <f t="shared" si="206"/>
        <v>9769773.4199999999</v>
      </c>
    </row>
    <row r="411" spans="1:28" ht="38.25" x14ac:dyDescent="0.2">
      <c r="A411" s="226" t="s">
        <v>338</v>
      </c>
      <c r="B411" s="58" t="s">
        <v>109</v>
      </c>
      <c r="C411" s="58" t="s">
        <v>73</v>
      </c>
      <c r="D411" s="59" t="s">
        <v>76</v>
      </c>
      <c r="E411" s="70" t="s">
        <v>71</v>
      </c>
      <c r="F411" s="60" t="s">
        <v>135</v>
      </c>
      <c r="G411" s="66" t="s">
        <v>135</v>
      </c>
      <c r="H411" s="66" t="s">
        <v>135</v>
      </c>
      <c r="I411" s="66" t="s">
        <v>136</v>
      </c>
      <c r="J411" s="67" t="s">
        <v>135</v>
      </c>
      <c r="K411" s="214"/>
      <c r="L411" s="101">
        <f t="shared" si="204"/>
        <v>300000</v>
      </c>
      <c r="M411" s="102">
        <f t="shared" si="204"/>
        <v>0</v>
      </c>
      <c r="N411" s="248">
        <f>N412</f>
        <v>0</v>
      </c>
      <c r="O411" s="248">
        <f>O412</f>
        <v>0</v>
      </c>
      <c r="P411" s="248">
        <f>P412</f>
        <v>0</v>
      </c>
      <c r="Q411" s="473">
        <f t="shared" si="206"/>
        <v>16960578.550000001</v>
      </c>
      <c r="R411" s="248">
        <f t="shared" si="206"/>
        <v>0</v>
      </c>
      <c r="S411" s="248">
        <f>S412</f>
        <v>0</v>
      </c>
      <c r="T411" s="248">
        <f>T412</f>
        <v>0</v>
      </c>
      <c r="U411" s="249">
        <f t="shared" si="206"/>
        <v>16960578.550000001</v>
      </c>
      <c r="V411" s="249">
        <f t="shared" si="206"/>
        <v>9769773.4199999999</v>
      </c>
      <c r="W411" s="101">
        <f t="shared" si="206"/>
        <v>0</v>
      </c>
      <c r="X411" s="473">
        <f t="shared" si="206"/>
        <v>0</v>
      </c>
      <c r="Y411" s="248">
        <f t="shared" si="206"/>
        <v>16960578.550000001</v>
      </c>
      <c r="Z411" s="249">
        <f t="shared" si="206"/>
        <v>9769773.4199999999</v>
      </c>
      <c r="AA411" s="249">
        <f t="shared" si="206"/>
        <v>0</v>
      </c>
      <c r="AB411" s="249">
        <f t="shared" si="206"/>
        <v>9769773.4199999999</v>
      </c>
    </row>
    <row r="412" spans="1:28" ht="25.5" x14ac:dyDescent="0.2">
      <c r="A412" s="277" t="s">
        <v>176</v>
      </c>
      <c r="B412" s="58" t="s">
        <v>109</v>
      </c>
      <c r="C412" s="58" t="s">
        <v>73</v>
      </c>
      <c r="D412" s="59" t="s">
        <v>76</v>
      </c>
      <c r="E412" s="66" t="s">
        <v>71</v>
      </c>
      <c r="F412" s="60" t="s">
        <v>135</v>
      </c>
      <c r="G412" s="66" t="s">
        <v>135</v>
      </c>
      <c r="H412" s="66" t="s">
        <v>135</v>
      </c>
      <c r="I412" s="66" t="s">
        <v>175</v>
      </c>
      <c r="J412" s="67" t="s">
        <v>135</v>
      </c>
      <c r="K412" s="214"/>
      <c r="L412" s="101">
        <f t="shared" si="204"/>
        <v>300000</v>
      </c>
      <c r="M412" s="102">
        <f t="shared" si="204"/>
        <v>0</v>
      </c>
      <c r="N412" s="248">
        <f t="shared" si="204"/>
        <v>0</v>
      </c>
      <c r="O412" s="248">
        <f t="shared" si="204"/>
        <v>0</v>
      </c>
      <c r="P412" s="248">
        <f t="shared" si="204"/>
        <v>0</v>
      </c>
      <c r="Q412" s="473">
        <f t="shared" si="206"/>
        <v>16960578.550000001</v>
      </c>
      <c r="R412" s="248">
        <f t="shared" si="206"/>
        <v>0</v>
      </c>
      <c r="S412" s="248">
        <f t="shared" si="206"/>
        <v>0</v>
      </c>
      <c r="T412" s="248">
        <f t="shared" si="206"/>
        <v>0</v>
      </c>
      <c r="U412" s="249">
        <f t="shared" si="206"/>
        <v>16960578.550000001</v>
      </c>
      <c r="V412" s="249">
        <f t="shared" si="206"/>
        <v>9769773.4199999999</v>
      </c>
      <c r="W412" s="101">
        <f t="shared" si="206"/>
        <v>0</v>
      </c>
      <c r="X412" s="473">
        <f t="shared" si="206"/>
        <v>0</v>
      </c>
      <c r="Y412" s="248">
        <f t="shared" si="206"/>
        <v>16960578.550000001</v>
      </c>
      <c r="Z412" s="249">
        <f t="shared" si="206"/>
        <v>9769773.4199999999</v>
      </c>
      <c r="AA412" s="249">
        <f t="shared" si="206"/>
        <v>0</v>
      </c>
      <c r="AB412" s="249">
        <f t="shared" si="206"/>
        <v>9769773.4199999999</v>
      </c>
    </row>
    <row r="413" spans="1:28" ht="25.5" x14ac:dyDescent="0.2">
      <c r="A413" s="207" t="s">
        <v>187</v>
      </c>
      <c r="B413" s="58" t="s">
        <v>109</v>
      </c>
      <c r="C413" s="58" t="s">
        <v>73</v>
      </c>
      <c r="D413" s="59" t="s">
        <v>76</v>
      </c>
      <c r="E413" s="66" t="s">
        <v>71</v>
      </c>
      <c r="F413" s="66" t="s">
        <v>135</v>
      </c>
      <c r="G413" s="66" t="s">
        <v>135</v>
      </c>
      <c r="H413" s="66" t="s">
        <v>135</v>
      </c>
      <c r="I413" s="66" t="s">
        <v>175</v>
      </c>
      <c r="J413" s="67" t="s">
        <v>135</v>
      </c>
      <c r="K413" s="309" t="s">
        <v>160</v>
      </c>
      <c r="L413" s="101">
        <f t="shared" si="204"/>
        <v>300000</v>
      </c>
      <c r="M413" s="102">
        <f t="shared" si="204"/>
        <v>0</v>
      </c>
      <c r="N413" s="248">
        <f t="shared" si="204"/>
        <v>0</v>
      </c>
      <c r="O413" s="248">
        <f t="shared" si="204"/>
        <v>0</v>
      </c>
      <c r="P413" s="248">
        <f t="shared" si="204"/>
        <v>0</v>
      </c>
      <c r="Q413" s="473">
        <f t="shared" si="206"/>
        <v>16960578.550000001</v>
      </c>
      <c r="R413" s="248">
        <f t="shared" si="206"/>
        <v>0</v>
      </c>
      <c r="S413" s="248">
        <f t="shared" si="206"/>
        <v>0</v>
      </c>
      <c r="T413" s="248">
        <f t="shared" si="206"/>
        <v>0</v>
      </c>
      <c r="U413" s="249">
        <f t="shared" si="206"/>
        <v>16960578.550000001</v>
      </c>
      <c r="V413" s="249">
        <f t="shared" si="206"/>
        <v>9769773.4199999999</v>
      </c>
      <c r="W413" s="101">
        <f t="shared" si="206"/>
        <v>0</v>
      </c>
      <c r="X413" s="473">
        <f t="shared" si="206"/>
        <v>0</v>
      </c>
      <c r="Y413" s="248">
        <f t="shared" si="206"/>
        <v>16960578.550000001</v>
      </c>
      <c r="Z413" s="249">
        <f t="shared" si="206"/>
        <v>9769773.4199999999</v>
      </c>
      <c r="AA413" s="249">
        <f t="shared" si="206"/>
        <v>0</v>
      </c>
      <c r="AB413" s="249">
        <f t="shared" si="206"/>
        <v>9769773.4199999999</v>
      </c>
    </row>
    <row r="414" spans="1:28" x14ac:dyDescent="0.2">
      <c r="A414" s="258" t="s">
        <v>162</v>
      </c>
      <c r="B414" s="58" t="s">
        <v>109</v>
      </c>
      <c r="C414" s="58" t="s">
        <v>73</v>
      </c>
      <c r="D414" s="59" t="s">
        <v>76</v>
      </c>
      <c r="E414" s="66" t="s">
        <v>71</v>
      </c>
      <c r="F414" s="70" t="s">
        <v>135</v>
      </c>
      <c r="G414" s="66" t="s">
        <v>135</v>
      </c>
      <c r="H414" s="66" t="s">
        <v>135</v>
      </c>
      <c r="I414" s="66" t="s">
        <v>175</v>
      </c>
      <c r="J414" s="67" t="s">
        <v>135</v>
      </c>
      <c r="K414" s="309" t="s">
        <v>161</v>
      </c>
      <c r="L414" s="101">
        <v>300000</v>
      </c>
      <c r="M414" s="102">
        <v>0</v>
      </c>
      <c r="N414" s="248">
        <v>0</v>
      </c>
      <c r="O414" s="248">
        <v>0</v>
      </c>
      <c r="P414" s="248">
        <v>0</v>
      </c>
      <c r="Q414" s="473">
        <v>16960578.550000001</v>
      </c>
      <c r="R414" s="248">
        <v>0</v>
      </c>
      <c r="S414" s="248">
        <v>0</v>
      </c>
      <c r="T414" s="248">
        <v>0</v>
      </c>
      <c r="U414" s="249">
        <v>16960578.550000001</v>
      </c>
      <c r="V414" s="249">
        <v>9769773.4199999999</v>
      </c>
      <c r="W414" s="101">
        <v>0</v>
      </c>
      <c r="X414" s="473">
        <v>0</v>
      </c>
      <c r="Y414" s="248">
        <v>16960578.550000001</v>
      </c>
      <c r="Z414" s="249">
        <v>9769773.4199999999</v>
      </c>
      <c r="AA414" s="249">
        <v>0</v>
      </c>
      <c r="AB414" s="249">
        <v>9769773.4199999999</v>
      </c>
    </row>
    <row r="415" spans="1:28" x14ac:dyDescent="0.2">
      <c r="A415" s="207" t="s">
        <v>78</v>
      </c>
      <c r="B415" s="58" t="s">
        <v>109</v>
      </c>
      <c r="C415" s="58" t="s">
        <v>74</v>
      </c>
      <c r="D415" s="59"/>
      <c r="E415" s="60"/>
      <c r="F415" s="60"/>
      <c r="G415" s="66"/>
      <c r="H415" s="66"/>
      <c r="I415" s="60"/>
      <c r="J415" s="76"/>
      <c r="K415" s="309"/>
      <c r="L415" s="101"/>
      <c r="M415" s="102"/>
      <c r="N415" s="248">
        <f t="shared" ref="N415:O415" si="207">N421+N426+N434</f>
        <v>0</v>
      </c>
      <c r="O415" s="248">
        <f t="shared" si="207"/>
        <v>0</v>
      </c>
      <c r="P415" s="248">
        <f>P421+P426+P434+P416</f>
        <v>250000</v>
      </c>
      <c r="Q415" s="248">
        <f t="shared" ref="Q415:AB415" si="208">Q421+Q426+Q434+Q416</f>
        <v>942950</v>
      </c>
      <c r="R415" s="248">
        <f t="shared" si="208"/>
        <v>0</v>
      </c>
      <c r="S415" s="248">
        <f t="shared" si="208"/>
        <v>390770</v>
      </c>
      <c r="T415" s="248">
        <f t="shared" si="208"/>
        <v>640770</v>
      </c>
      <c r="U415" s="249">
        <f t="shared" si="208"/>
        <v>682950</v>
      </c>
      <c r="V415" s="248">
        <f t="shared" si="208"/>
        <v>907450</v>
      </c>
      <c r="W415" s="248">
        <f t="shared" si="208"/>
        <v>0</v>
      </c>
      <c r="X415" s="473">
        <f t="shared" si="208"/>
        <v>0</v>
      </c>
      <c r="Y415" s="248">
        <f t="shared" si="208"/>
        <v>682950</v>
      </c>
      <c r="Z415" s="249">
        <f t="shared" si="208"/>
        <v>647450</v>
      </c>
      <c r="AA415" s="248">
        <f t="shared" si="208"/>
        <v>0</v>
      </c>
      <c r="AB415" s="248">
        <f t="shared" si="208"/>
        <v>647450</v>
      </c>
    </row>
    <row r="416" spans="1:28" x14ac:dyDescent="0.2">
      <c r="A416" s="207" t="s">
        <v>90</v>
      </c>
      <c r="B416" s="411">
        <v>331</v>
      </c>
      <c r="C416" s="58" t="s">
        <v>74</v>
      </c>
      <c r="D416" s="59" t="s">
        <v>76</v>
      </c>
      <c r="E416" s="81"/>
      <c r="F416" s="81"/>
      <c r="G416" s="66"/>
      <c r="H416" s="66"/>
      <c r="I416" s="66"/>
      <c r="J416" s="76"/>
      <c r="K416" s="309"/>
      <c r="L416" s="101"/>
      <c r="M416" s="102"/>
      <c r="N416" s="248"/>
      <c r="O416" s="248"/>
      <c r="P416" s="248">
        <f>P418</f>
        <v>0</v>
      </c>
      <c r="Q416" s="473"/>
      <c r="R416" s="248"/>
      <c r="S416" s="248">
        <f t="shared" ref="S416:AB416" si="209">S418</f>
        <v>520000</v>
      </c>
      <c r="T416" s="248">
        <f t="shared" si="209"/>
        <v>520000</v>
      </c>
      <c r="U416" s="249">
        <f t="shared" si="209"/>
        <v>0</v>
      </c>
      <c r="V416" s="248">
        <f t="shared" si="209"/>
        <v>0</v>
      </c>
      <c r="W416" s="248">
        <f t="shared" si="209"/>
        <v>0</v>
      </c>
      <c r="X416" s="473">
        <f t="shared" si="209"/>
        <v>0</v>
      </c>
      <c r="Y416" s="248">
        <f t="shared" si="209"/>
        <v>0</v>
      </c>
      <c r="Z416" s="249">
        <f t="shared" si="209"/>
        <v>0</v>
      </c>
      <c r="AA416" s="248">
        <f t="shared" si="209"/>
        <v>0</v>
      </c>
      <c r="AB416" s="248">
        <f t="shared" si="209"/>
        <v>0</v>
      </c>
    </row>
    <row r="417" spans="1:28" ht="32.25" customHeight="1" x14ac:dyDescent="0.2">
      <c r="A417" s="207" t="s">
        <v>312</v>
      </c>
      <c r="B417" s="411">
        <v>331</v>
      </c>
      <c r="C417" s="58" t="s">
        <v>74</v>
      </c>
      <c r="D417" s="59" t="s">
        <v>76</v>
      </c>
      <c r="E417" s="81" t="s">
        <v>1</v>
      </c>
      <c r="F417" s="81" t="s">
        <v>135</v>
      </c>
      <c r="G417" s="66" t="s">
        <v>135</v>
      </c>
      <c r="H417" s="66" t="s">
        <v>135</v>
      </c>
      <c r="I417" s="66" t="s">
        <v>136</v>
      </c>
      <c r="J417" s="76" t="s">
        <v>135</v>
      </c>
      <c r="K417" s="309"/>
      <c r="L417" s="101"/>
      <c r="M417" s="102"/>
      <c r="N417" s="248"/>
      <c r="O417" s="248"/>
      <c r="P417" s="248">
        <f>P418</f>
        <v>0</v>
      </c>
      <c r="Q417" s="473"/>
      <c r="R417" s="248"/>
      <c r="S417" s="248">
        <f t="shared" ref="S417:AB417" si="210">S418</f>
        <v>520000</v>
      </c>
      <c r="T417" s="248">
        <f t="shared" si="210"/>
        <v>520000</v>
      </c>
      <c r="U417" s="249">
        <f t="shared" si="210"/>
        <v>0</v>
      </c>
      <c r="V417" s="248">
        <f t="shared" si="210"/>
        <v>0</v>
      </c>
      <c r="W417" s="248">
        <f t="shared" si="210"/>
        <v>0</v>
      </c>
      <c r="X417" s="473">
        <f t="shared" si="210"/>
        <v>0</v>
      </c>
      <c r="Y417" s="248">
        <f t="shared" si="210"/>
        <v>0</v>
      </c>
      <c r="Z417" s="249">
        <f t="shared" si="210"/>
        <v>0</v>
      </c>
      <c r="AA417" s="248">
        <f t="shared" si="210"/>
        <v>0</v>
      </c>
      <c r="AB417" s="248">
        <f t="shared" si="210"/>
        <v>0</v>
      </c>
    </row>
    <row r="418" spans="1:28" ht="51.75" customHeight="1" x14ac:dyDescent="0.2">
      <c r="A418" s="277" t="s">
        <v>347</v>
      </c>
      <c r="B418" s="411">
        <v>331</v>
      </c>
      <c r="C418" s="58" t="s">
        <v>74</v>
      </c>
      <c r="D418" s="59" t="s">
        <v>76</v>
      </c>
      <c r="E418" s="81" t="s">
        <v>1</v>
      </c>
      <c r="F418" s="81" t="s">
        <v>135</v>
      </c>
      <c r="G418" s="66" t="s">
        <v>135</v>
      </c>
      <c r="H418" s="66" t="s">
        <v>135</v>
      </c>
      <c r="I418" s="66" t="s">
        <v>389</v>
      </c>
      <c r="J418" s="67" t="s">
        <v>135</v>
      </c>
      <c r="K418" s="214"/>
      <c r="L418" s="101"/>
      <c r="M418" s="102"/>
      <c r="N418" s="248">
        <f t="shared" ref="N418:AB419" si="211">N419</f>
        <v>0</v>
      </c>
      <c r="O418" s="248">
        <f t="shared" si="211"/>
        <v>0</v>
      </c>
      <c r="P418" s="248">
        <f t="shared" si="211"/>
        <v>0</v>
      </c>
      <c r="Q418" s="473">
        <f t="shared" si="211"/>
        <v>2100000</v>
      </c>
      <c r="R418" s="248">
        <f t="shared" si="211"/>
        <v>0</v>
      </c>
      <c r="S418" s="248">
        <f t="shared" si="211"/>
        <v>520000</v>
      </c>
      <c r="T418" s="248">
        <f t="shared" si="211"/>
        <v>520000</v>
      </c>
      <c r="U418" s="249">
        <f t="shared" si="211"/>
        <v>0</v>
      </c>
      <c r="V418" s="445">
        <f t="shared" si="211"/>
        <v>0</v>
      </c>
      <c r="W418" s="101">
        <f t="shared" si="211"/>
        <v>0</v>
      </c>
      <c r="X418" s="473">
        <f t="shared" si="211"/>
        <v>0</v>
      </c>
      <c r="Y418" s="248">
        <f t="shared" si="211"/>
        <v>0</v>
      </c>
      <c r="Z418" s="249">
        <f t="shared" si="211"/>
        <v>0</v>
      </c>
      <c r="AA418" s="249">
        <f t="shared" si="211"/>
        <v>0</v>
      </c>
      <c r="AB418" s="249">
        <f t="shared" si="211"/>
        <v>0</v>
      </c>
    </row>
    <row r="419" spans="1:28" ht="25.5" x14ac:dyDescent="0.2">
      <c r="A419" s="207" t="s">
        <v>187</v>
      </c>
      <c r="B419" s="411">
        <v>331</v>
      </c>
      <c r="C419" s="58" t="s">
        <v>74</v>
      </c>
      <c r="D419" s="59" t="s">
        <v>76</v>
      </c>
      <c r="E419" s="81" t="s">
        <v>1</v>
      </c>
      <c r="F419" s="81" t="s">
        <v>135</v>
      </c>
      <c r="G419" s="66" t="s">
        <v>135</v>
      </c>
      <c r="H419" s="66" t="s">
        <v>135</v>
      </c>
      <c r="I419" s="66" t="s">
        <v>389</v>
      </c>
      <c r="J419" s="67" t="s">
        <v>135</v>
      </c>
      <c r="K419" s="214" t="s">
        <v>160</v>
      </c>
      <c r="L419" s="101"/>
      <c r="M419" s="102"/>
      <c r="N419" s="248">
        <f t="shared" si="211"/>
        <v>0</v>
      </c>
      <c r="O419" s="248">
        <f t="shared" si="211"/>
        <v>0</v>
      </c>
      <c r="P419" s="248">
        <f t="shared" si="211"/>
        <v>0</v>
      </c>
      <c r="Q419" s="473">
        <f t="shared" si="211"/>
        <v>2100000</v>
      </c>
      <c r="R419" s="248">
        <f t="shared" si="211"/>
        <v>0</v>
      </c>
      <c r="S419" s="248">
        <f t="shared" si="211"/>
        <v>520000</v>
      </c>
      <c r="T419" s="248">
        <f t="shared" si="211"/>
        <v>520000</v>
      </c>
      <c r="U419" s="249">
        <f t="shared" si="211"/>
        <v>0</v>
      </c>
      <c r="V419" s="445">
        <f t="shared" si="211"/>
        <v>0</v>
      </c>
      <c r="W419" s="101">
        <f t="shared" si="211"/>
        <v>0</v>
      </c>
      <c r="X419" s="473">
        <f t="shared" si="211"/>
        <v>0</v>
      </c>
      <c r="Y419" s="248">
        <f t="shared" si="211"/>
        <v>0</v>
      </c>
      <c r="Z419" s="249">
        <f t="shared" si="211"/>
        <v>0</v>
      </c>
      <c r="AA419" s="249">
        <f t="shared" si="211"/>
        <v>0</v>
      </c>
      <c r="AB419" s="249">
        <f t="shared" si="211"/>
        <v>0</v>
      </c>
    </row>
    <row r="420" spans="1:28" x14ac:dyDescent="0.2">
      <c r="A420" s="258" t="s">
        <v>162</v>
      </c>
      <c r="B420" s="411">
        <v>331</v>
      </c>
      <c r="C420" s="58" t="s">
        <v>74</v>
      </c>
      <c r="D420" s="59" t="s">
        <v>76</v>
      </c>
      <c r="E420" s="81" t="s">
        <v>1</v>
      </c>
      <c r="F420" s="81" t="s">
        <v>135</v>
      </c>
      <c r="G420" s="66" t="s">
        <v>135</v>
      </c>
      <c r="H420" s="66" t="s">
        <v>135</v>
      </c>
      <c r="I420" s="66" t="s">
        <v>389</v>
      </c>
      <c r="J420" s="67" t="s">
        <v>135</v>
      </c>
      <c r="K420" s="214" t="s">
        <v>161</v>
      </c>
      <c r="L420" s="101"/>
      <c r="M420" s="102"/>
      <c r="N420" s="248">
        <v>0</v>
      </c>
      <c r="O420" s="248">
        <v>0</v>
      </c>
      <c r="P420" s="248">
        <v>0</v>
      </c>
      <c r="Q420" s="473">
        <v>2100000</v>
      </c>
      <c r="R420" s="248">
        <v>0</v>
      </c>
      <c r="S420" s="248">
        <v>520000</v>
      </c>
      <c r="T420" s="248">
        <f>S420+P420</f>
        <v>520000</v>
      </c>
      <c r="U420" s="249">
        <v>0</v>
      </c>
      <c r="V420" s="445">
        <v>0</v>
      </c>
      <c r="W420" s="101">
        <v>0</v>
      </c>
      <c r="X420" s="473">
        <v>0</v>
      </c>
      <c r="Y420" s="248">
        <v>0</v>
      </c>
      <c r="Z420" s="249">
        <v>0</v>
      </c>
      <c r="AA420" s="249">
        <v>0</v>
      </c>
      <c r="AB420" s="249">
        <v>0</v>
      </c>
    </row>
    <row r="421" spans="1:28" ht="25.5" x14ac:dyDescent="0.2">
      <c r="A421" s="212" t="s">
        <v>191</v>
      </c>
      <c r="B421" s="58" t="s">
        <v>109</v>
      </c>
      <c r="C421" s="58" t="s">
        <v>74</v>
      </c>
      <c r="D421" s="59" t="s">
        <v>73</v>
      </c>
      <c r="E421" s="70"/>
      <c r="F421" s="70"/>
      <c r="G421" s="66"/>
      <c r="H421" s="66"/>
      <c r="I421" s="71"/>
      <c r="J421" s="67"/>
      <c r="K421" s="372"/>
      <c r="L421" s="101"/>
      <c r="M421" s="102"/>
      <c r="N421" s="248">
        <f t="shared" ref="N421:AB424" si="212">N422</f>
        <v>0</v>
      </c>
      <c r="O421" s="248">
        <f t="shared" si="212"/>
        <v>0</v>
      </c>
      <c r="P421" s="248">
        <f t="shared" si="212"/>
        <v>0</v>
      </c>
      <c r="Q421" s="473">
        <f t="shared" si="212"/>
        <v>197500</v>
      </c>
      <c r="R421" s="248">
        <f t="shared" si="212"/>
        <v>0</v>
      </c>
      <c r="S421" s="248">
        <f t="shared" si="212"/>
        <v>4770</v>
      </c>
      <c r="T421" s="248">
        <f t="shared" si="212"/>
        <v>4770</v>
      </c>
      <c r="U421" s="249">
        <f t="shared" si="212"/>
        <v>197500</v>
      </c>
      <c r="V421" s="248">
        <f t="shared" si="212"/>
        <v>162000</v>
      </c>
      <c r="W421" s="473">
        <f t="shared" si="212"/>
        <v>0</v>
      </c>
      <c r="X421" s="473">
        <f t="shared" si="212"/>
        <v>0</v>
      </c>
      <c r="Y421" s="248">
        <f t="shared" si="212"/>
        <v>197500</v>
      </c>
      <c r="Z421" s="249">
        <f t="shared" si="212"/>
        <v>162000</v>
      </c>
      <c r="AA421" s="248">
        <f t="shared" si="212"/>
        <v>0</v>
      </c>
      <c r="AB421" s="248">
        <f t="shared" si="212"/>
        <v>162000</v>
      </c>
    </row>
    <row r="422" spans="1:28" ht="43.5" customHeight="1" x14ac:dyDescent="0.2">
      <c r="A422" s="212" t="s">
        <v>367</v>
      </c>
      <c r="B422" s="411">
        <v>331</v>
      </c>
      <c r="C422" s="58" t="s">
        <v>74</v>
      </c>
      <c r="D422" s="59" t="s">
        <v>73</v>
      </c>
      <c r="E422" s="79" t="s">
        <v>348</v>
      </c>
      <c r="F422" s="79" t="s">
        <v>135</v>
      </c>
      <c r="G422" s="66" t="s">
        <v>135</v>
      </c>
      <c r="H422" s="66" t="s">
        <v>135</v>
      </c>
      <c r="I422" s="79" t="s">
        <v>136</v>
      </c>
      <c r="J422" s="67" t="s">
        <v>135</v>
      </c>
      <c r="K422" s="291"/>
      <c r="L422" s="101"/>
      <c r="M422" s="102"/>
      <c r="N422" s="248">
        <f t="shared" si="212"/>
        <v>0</v>
      </c>
      <c r="O422" s="248">
        <f t="shared" si="212"/>
        <v>0</v>
      </c>
      <c r="P422" s="248">
        <f t="shared" si="212"/>
        <v>0</v>
      </c>
      <c r="Q422" s="473">
        <f t="shared" si="212"/>
        <v>197500</v>
      </c>
      <c r="R422" s="248">
        <f t="shared" si="212"/>
        <v>0</v>
      </c>
      <c r="S422" s="248">
        <f t="shared" si="212"/>
        <v>4770</v>
      </c>
      <c r="T422" s="248">
        <f t="shared" si="212"/>
        <v>4770</v>
      </c>
      <c r="U422" s="249">
        <f t="shared" si="212"/>
        <v>197500</v>
      </c>
      <c r="V422" s="248">
        <f t="shared" si="212"/>
        <v>162000</v>
      </c>
      <c r="W422" s="473">
        <f t="shared" si="212"/>
        <v>0</v>
      </c>
      <c r="X422" s="473">
        <f t="shared" si="212"/>
        <v>0</v>
      </c>
      <c r="Y422" s="248">
        <f t="shared" si="212"/>
        <v>197500</v>
      </c>
      <c r="Z422" s="249">
        <f t="shared" si="212"/>
        <v>162000</v>
      </c>
      <c r="AA422" s="248">
        <f t="shared" si="212"/>
        <v>0</v>
      </c>
      <c r="AB422" s="248">
        <f t="shared" si="212"/>
        <v>162000</v>
      </c>
    </row>
    <row r="423" spans="1:28" ht="29.25" customHeight="1" x14ac:dyDescent="0.2">
      <c r="A423" s="258" t="s">
        <v>29</v>
      </c>
      <c r="B423" s="58" t="s">
        <v>109</v>
      </c>
      <c r="C423" s="58" t="s">
        <v>74</v>
      </c>
      <c r="D423" s="59" t="s">
        <v>73</v>
      </c>
      <c r="E423" s="66" t="s">
        <v>348</v>
      </c>
      <c r="F423" s="66" t="s">
        <v>135</v>
      </c>
      <c r="G423" s="66" t="s">
        <v>135</v>
      </c>
      <c r="H423" s="66" t="s">
        <v>135</v>
      </c>
      <c r="I423" s="66" t="s">
        <v>27</v>
      </c>
      <c r="J423" s="67" t="s">
        <v>135</v>
      </c>
      <c r="K423" s="309"/>
      <c r="L423" s="101"/>
      <c r="M423" s="102"/>
      <c r="N423" s="248">
        <f t="shared" si="212"/>
        <v>0</v>
      </c>
      <c r="O423" s="248">
        <f t="shared" si="212"/>
        <v>0</v>
      </c>
      <c r="P423" s="248">
        <f t="shared" si="212"/>
        <v>0</v>
      </c>
      <c r="Q423" s="473">
        <f t="shared" si="212"/>
        <v>197500</v>
      </c>
      <c r="R423" s="248">
        <f t="shared" si="212"/>
        <v>0</v>
      </c>
      <c r="S423" s="248">
        <f t="shared" si="212"/>
        <v>4770</v>
      </c>
      <c r="T423" s="248">
        <f t="shared" si="212"/>
        <v>4770</v>
      </c>
      <c r="U423" s="249">
        <f t="shared" si="212"/>
        <v>197500</v>
      </c>
      <c r="V423" s="248">
        <f t="shared" si="212"/>
        <v>162000</v>
      </c>
      <c r="W423" s="473">
        <f t="shared" si="212"/>
        <v>0</v>
      </c>
      <c r="X423" s="473">
        <f t="shared" si="212"/>
        <v>0</v>
      </c>
      <c r="Y423" s="248">
        <f t="shared" si="212"/>
        <v>197500</v>
      </c>
      <c r="Z423" s="249">
        <f t="shared" si="212"/>
        <v>162000</v>
      </c>
      <c r="AA423" s="248">
        <f t="shared" si="212"/>
        <v>0</v>
      </c>
      <c r="AB423" s="248">
        <f t="shared" si="212"/>
        <v>162000</v>
      </c>
    </row>
    <row r="424" spans="1:28" ht="25.5" x14ac:dyDescent="0.2">
      <c r="A424" s="212" t="s">
        <v>52</v>
      </c>
      <c r="B424" s="58" t="s">
        <v>109</v>
      </c>
      <c r="C424" s="58" t="s">
        <v>74</v>
      </c>
      <c r="D424" s="59" t="s">
        <v>73</v>
      </c>
      <c r="E424" s="66" t="s">
        <v>348</v>
      </c>
      <c r="F424" s="66" t="s">
        <v>135</v>
      </c>
      <c r="G424" s="66" t="s">
        <v>135</v>
      </c>
      <c r="H424" s="66" t="s">
        <v>135</v>
      </c>
      <c r="I424" s="66" t="s">
        <v>27</v>
      </c>
      <c r="J424" s="67" t="s">
        <v>135</v>
      </c>
      <c r="K424" s="309" t="s">
        <v>53</v>
      </c>
      <c r="L424" s="101"/>
      <c r="M424" s="102"/>
      <c r="N424" s="248">
        <f t="shared" si="212"/>
        <v>0</v>
      </c>
      <c r="O424" s="248">
        <f t="shared" si="212"/>
        <v>0</v>
      </c>
      <c r="P424" s="248">
        <f t="shared" si="212"/>
        <v>0</v>
      </c>
      <c r="Q424" s="473">
        <f t="shared" si="212"/>
        <v>197500</v>
      </c>
      <c r="R424" s="248">
        <f t="shared" si="212"/>
        <v>0</v>
      </c>
      <c r="S424" s="248">
        <f t="shared" si="212"/>
        <v>4770</v>
      </c>
      <c r="T424" s="248">
        <f t="shared" si="212"/>
        <v>4770</v>
      </c>
      <c r="U424" s="249">
        <f t="shared" si="212"/>
        <v>197500</v>
      </c>
      <c r="V424" s="248">
        <f t="shared" si="212"/>
        <v>162000</v>
      </c>
      <c r="W424" s="473">
        <f t="shared" si="212"/>
        <v>0</v>
      </c>
      <c r="X424" s="473">
        <f t="shared" si="212"/>
        <v>0</v>
      </c>
      <c r="Y424" s="248">
        <f t="shared" si="212"/>
        <v>197500</v>
      </c>
      <c r="Z424" s="249">
        <f t="shared" si="212"/>
        <v>162000</v>
      </c>
      <c r="AA424" s="248">
        <f t="shared" si="212"/>
        <v>0</v>
      </c>
      <c r="AB424" s="248">
        <f t="shared" si="212"/>
        <v>162000</v>
      </c>
    </row>
    <row r="425" spans="1:28" ht="25.5" x14ac:dyDescent="0.2">
      <c r="A425" s="212" t="s">
        <v>54</v>
      </c>
      <c r="B425" s="58" t="s">
        <v>109</v>
      </c>
      <c r="C425" s="58" t="s">
        <v>74</v>
      </c>
      <c r="D425" s="59" t="s">
        <v>73</v>
      </c>
      <c r="E425" s="66" t="s">
        <v>348</v>
      </c>
      <c r="F425" s="66" t="s">
        <v>135</v>
      </c>
      <c r="G425" s="66" t="s">
        <v>135</v>
      </c>
      <c r="H425" s="66" t="s">
        <v>135</v>
      </c>
      <c r="I425" s="66" t="s">
        <v>27</v>
      </c>
      <c r="J425" s="67" t="s">
        <v>135</v>
      </c>
      <c r="K425" s="309" t="s">
        <v>55</v>
      </c>
      <c r="L425" s="101"/>
      <c r="M425" s="102"/>
      <c r="N425" s="248">
        <v>0</v>
      </c>
      <c r="O425" s="248">
        <v>0</v>
      </c>
      <c r="P425" s="248">
        <v>0</v>
      </c>
      <c r="Q425" s="473">
        <v>197500</v>
      </c>
      <c r="R425" s="248">
        <v>0</v>
      </c>
      <c r="S425" s="248">
        <f>3000+1770</f>
        <v>4770</v>
      </c>
      <c r="T425" s="248">
        <f>S425</f>
        <v>4770</v>
      </c>
      <c r="U425" s="249">
        <v>197500</v>
      </c>
      <c r="V425" s="248">
        <v>162000</v>
      </c>
      <c r="W425" s="473">
        <v>0</v>
      </c>
      <c r="X425" s="473">
        <v>0</v>
      </c>
      <c r="Y425" s="248">
        <v>197500</v>
      </c>
      <c r="Z425" s="249">
        <v>162000</v>
      </c>
      <c r="AA425" s="248">
        <v>0</v>
      </c>
      <c r="AB425" s="248">
        <v>162000</v>
      </c>
    </row>
    <row r="426" spans="1:28" x14ac:dyDescent="0.2">
      <c r="A426" s="212" t="s">
        <v>180</v>
      </c>
      <c r="B426" s="58" t="s">
        <v>109</v>
      </c>
      <c r="C426" s="58" t="s">
        <v>74</v>
      </c>
      <c r="D426" s="59" t="s">
        <v>74</v>
      </c>
      <c r="E426" s="66"/>
      <c r="F426" s="66"/>
      <c r="G426" s="66"/>
      <c r="H426" s="66"/>
      <c r="I426" s="66"/>
      <c r="J426" s="67"/>
      <c r="K426" s="309"/>
      <c r="L426" s="64"/>
      <c r="M426" s="65"/>
      <c r="N426" s="224">
        <f t="shared" ref="N426:AB427" si="213">N427</f>
        <v>0</v>
      </c>
      <c r="O426" s="224">
        <f t="shared" si="213"/>
        <v>0</v>
      </c>
      <c r="P426" s="224">
        <f t="shared" si="213"/>
        <v>120000</v>
      </c>
      <c r="Q426" s="223">
        <f t="shared" si="213"/>
        <v>485450</v>
      </c>
      <c r="R426" s="224">
        <f t="shared" si="213"/>
        <v>0</v>
      </c>
      <c r="S426" s="224">
        <f t="shared" si="213"/>
        <v>-74000</v>
      </c>
      <c r="T426" s="224">
        <f t="shared" si="213"/>
        <v>46000</v>
      </c>
      <c r="U426" s="225">
        <f t="shared" si="213"/>
        <v>355450</v>
      </c>
      <c r="V426" s="224">
        <f t="shared" si="213"/>
        <v>485450</v>
      </c>
      <c r="W426" s="223">
        <f t="shared" si="213"/>
        <v>0</v>
      </c>
      <c r="X426" s="223">
        <f t="shared" si="213"/>
        <v>0</v>
      </c>
      <c r="Y426" s="224">
        <f t="shared" si="213"/>
        <v>355450</v>
      </c>
      <c r="Z426" s="225">
        <f t="shared" si="213"/>
        <v>355450</v>
      </c>
      <c r="AA426" s="224">
        <f t="shared" si="213"/>
        <v>0</v>
      </c>
      <c r="AB426" s="224">
        <f t="shared" si="213"/>
        <v>355450</v>
      </c>
    </row>
    <row r="427" spans="1:28" s="2" customFormat="1" ht="21.75" customHeight="1" x14ac:dyDescent="0.2">
      <c r="A427" s="226" t="s">
        <v>361</v>
      </c>
      <c r="B427" s="411">
        <v>331</v>
      </c>
      <c r="C427" s="77" t="s">
        <v>74</v>
      </c>
      <c r="D427" s="78" t="s">
        <v>74</v>
      </c>
      <c r="E427" s="81" t="s">
        <v>70</v>
      </c>
      <c r="F427" s="81" t="s">
        <v>135</v>
      </c>
      <c r="G427" s="66" t="s">
        <v>135</v>
      </c>
      <c r="H427" s="66" t="s">
        <v>135</v>
      </c>
      <c r="I427" s="81" t="s">
        <v>136</v>
      </c>
      <c r="J427" s="67" t="s">
        <v>135</v>
      </c>
      <c r="K427" s="292"/>
      <c r="L427" s="68" t="e">
        <f>L428</f>
        <v>#REF!</v>
      </c>
      <c r="M427" s="69" t="e">
        <f>M428</f>
        <v>#REF!</v>
      </c>
      <c r="N427" s="216">
        <f t="shared" si="213"/>
        <v>0</v>
      </c>
      <c r="O427" s="216">
        <f t="shared" si="213"/>
        <v>0</v>
      </c>
      <c r="P427" s="216">
        <f>P428+P431</f>
        <v>120000</v>
      </c>
      <c r="Q427" s="216">
        <f t="shared" ref="Q427:AB427" si="214">Q428+Q431</f>
        <v>485450</v>
      </c>
      <c r="R427" s="216">
        <f t="shared" si="214"/>
        <v>0</v>
      </c>
      <c r="S427" s="216">
        <f t="shared" si="214"/>
        <v>-74000</v>
      </c>
      <c r="T427" s="216">
        <f t="shared" si="214"/>
        <v>46000</v>
      </c>
      <c r="U427" s="217">
        <f t="shared" si="214"/>
        <v>355450</v>
      </c>
      <c r="V427" s="216">
        <f t="shared" si="214"/>
        <v>485450</v>
      </c>
      <c r="W427" s="216">
        <f t="shared" si="214"/>
        <v>0</v>
      </c>
      <c r="X427" s="215">
        <f t="shared" si="214"/>
        <v>0</v>
      </c>
      <c r="Y427" s="216">
        <f t="shared" si="214"/>
        <v>355450</v>
      </c>
      <c r="Z427" s="217">
        <f t="shared" si="214"/>
        <v>355450</v>
      </c>
      <c r="AA427" s="216">
        <f t="shared" si="214"/>
        <v>0</v>
      </c>
      <c r="AB427" s="216">
        <f t="shared" si="214"/>
        <v>355450</v>
      </c>
    </row>
    <row r="428" spans="1:28" s="2" customFormat="1" x14ac:dyDescent="0.2">
      <c r="A428" s="207" t="s">
        <v>11</v>
      </c>
      <c r="B428" s="411">
        <v>331</v>
      </c>
      <c r="C428" s="77" t="s">
        <v>74</v>
      </c>
      <c r="D428" s="78" t="s">
        <v>74</v>
      </c>
      <c r="E428" s="66" t="s">
        <v>70</v>
      </c>
      <c r="F428" s="66" t="s">
        <v>135</v>
      </c>
      <c r="G428" s="66" t="s">
        <v>135</v>
      </c>
      <c r="H428" s="66" t="s">
        <v>135</v>
      </c>
      <c r="I428" s="66" t="s">
        <v>14</v>
      </c>
      <c r="J428" s="67" t="s">
        <v>135</v>
      </c>
      <c r="K428" s="309"/>
      <c r="L428" s="68" t="e">
        <f>L429+#REF!+#REF!</f>
        <v>#REF!</v>
      </c>
      <c r="M428" s="69" t="e">
        <f>M429+#REF!+#REF!</f>
        <v>#REF!</v>
      </c>
      <c r="N428" s="216">
        <f t="shared" ref="N428:AB429" si="215">N429</f>
        <v>0</v>
      </c>
      <c r="O428" s="216">
        <f t="shared" si="215"/>
        <v>0</v>
      </c>
      <c r="P428" s="216">
        <f t="shared" si="215"/>
        <v>0</v>
      </c>
      <c r="Q428" s="68">
        <f t="shared" si="215"/>
        <v>355450</v>
      </c>
      <c r="R428" s="216">
        <f t="shared" si="215"/>
        <v>0</v>
      </c>
      <c r="S428" s="216">
        <f t="shared" si="215"/>
        <v>0</v>
      </c>
      <c r="T428" s="216">
        <f t="shared" si="215"/>
        <v>0</v>
      </c>
      <c r="U428" s="68">
        <f t="shared" si="215"/>
        <v>355450</v>
      </c>
      <c r="V428" s="216">
        <f t="shared" si="215"/>
        <v>355450</v>
      </c>
      <c r="W428" s="215">
        <f t="shared" si="215"/>
        <v>0</v>
      </c>
      <c r="X428" s="215">
        <f t="shared" si="215"/>
        <v>0</v>
      </c>
      <c r="Y428" s="216">
        <f t="shared" si="215"/>
        <v>355450</v>
      </c>
      <c r="Z428" s="217">
        <f t="shared" si="215"/>
        <v>355450</v>
      </c>
      <c r="AA428" s="216">
        <f t="shared" si="215"/>
        <v>0</v>
      </c>
      <c r="AB428" s="216">
        <f t="shared" si="215"/>
        <v>355450</v>
      </c>
    </row>
    <row r="429" spans="1:28" s="2" customFormat="1" ht="25.5" x14ac:dyDescent="0.2">
      <c r="A429" s="212" t="s">
        <v>52</v>
      </c>
      <c r="B429" s="411">
        <v>331</v>
      </c>
      <c r="C429" s="77" t="s">
        <v>74</v>
      </c>
      <c r="D429" s="78" t="s">
        <v>74</v>
      </c>
      <c r="E429" s="66" t="s">
        <v>70</v>
      </c>
      <c r="F429" s="66" t="s">
        <v>135</v>
      </c>
      <c r="G429" s="66" t="s">
        <v>135</v>
      </c>
      <c r="H429" s="66" t="s">
        <v>135</v>
      </c>
      <c r="I429" s="66" t="s">
        <v>14</v>
      </c>
      <c r="J429" s="67" t="s">
        <v>135</v>
      </c>
      <c r="K429" s="309" t="s">
        <v>53</v>
      </c>
      <c r="L429" s="68">
        <f>L430</f>
        <v>308600</v>
      </c>
      <c r="M429" s="69">
        <f>M430</f>
        <v>0</v>
      </c>
      <c r="N429" s="216">
        <f t="shared" si="215"/>
        <v>0</v>
      </c>
      <c r="O429" s="216">
        <f t="shared" si="215"/>
        <v>0</v>
      </c>
      <c r="P429" s="216">
        <f t="shared" si="215"/>
        <v>0</v>
      </c>
      <c r="Q429" s="68">
        <f t="shared" si="215"/>
        <v>355450</v>
      </c>
      <c r="R429" s="216">
        <f t="shared" si="215"/>
        <v>0</v>
      </c>
      <c r="S429" s="216">
        <f t="shared" si="215"/>
        <v>0</v>
      </c>
      <c r="T429" s="216">
        <f t="shared" si="215"/>
        <v>0</v>
      </c>
      <c r="U429" s="68">
        <f t="shared" si="215"/>
        <v>355450</v>
      </c>
      <c r="V429" s="216">
        <f t="shared" si="215"/>
        <v>355450</v>
      </c>
      <c r="W429" s="215">
        <f t="shared" si="215"/>
        <v>0</v>
      </c>
      <c r="X429" s="215">
        <f t="shared" si="215"/>
        <v>0</v>
      </c>
      <c r="Y429" s="216">
        <f t="shared" si="215"/>
        <v>355450</v>
      </c>
      <c r="Z429" s="217">
        <f t="shared" si="215"/>
        <v>355450</v>
      </c>
      <c r="AA429" s="216">
        <f t="shared" si="215"/>
        <v>0</v>
      </c>
      <c r="AB429" s="216">
        <f t="shared" si="215"/>
        <v>355450</v>
      </c>
    </row>
    <row r="430" spans="1:28" s="2" customFormat="1" ht="25.5" x14ac:dyDescent="0.2">
      <c r="A430" s="212" t="s">
        <v>54</v>
      </c>
      <c r="B430" s="411">
        <v>331</v>
      </c>
      <c r="C430" s="77" t="s">
        <v>74</v>
      </c>
      <c r="D430" s="78" t="s">
        <v>74</v>
      </c>
      <c r="E430" s="66" t="s">
        <v>70</v>
      </c>
      <c r="F430" s="66" t="s">
        <v>135</v>
      </c>
      <c r="G430" s="66" t="s">
        <v>135</v>
      </c>
      <c r="H430" s="66" t="s">
        <v>135</v>
      </c>
      <c r="I430" s="66" t="s">
        <v>14</v>
      </c>
      <c r="J430" s="67" t="s">
        <v>135</v>
      </c>
      <c r="K430" s="309" t="s">
        <v>55</v>
      </c>
      <c r="L430" s="68">
        <v>308600</v>
      </c>
      <c r="M430" s="69">
        <v>0</v>
      </c>
      <c r="N430" s="216">
        <v>0</v>
      </c>
      <c r="O430" s="216">
        <v>0</v>
      </c>
      <c r="P430" s="216">
        <v>0</v>
      </c>
      <c r="Q430" s="68">
        <v>355450</v>
      </c>
      <c r="R430" s="216">
        <v>0</v>
      </c>
      <c r="S430" s="216">
        <v>0</v>
      </c>
      <c r="T430" s="216">
        <v>0</v>
      </c>
      <c r="U430" s="68">
        <v>355450</v>
      </c>
      <c r="V430" s="216">
        <v>355450</v>
      </c>
      <c r="W430" s="215">
        <v>0</v>
      </c>
      <c r="X430" s="215">
        <v>0</v>
      </c>
      <c r="Y430" s="216">
        <v>355450</v>
      </c>
      <c r="Z430" s="217">
        <v>355450</v>
      </c>
      <c r="AA430" s="216">
        <v>0</v>
      </c>
      <c r="AB430" s="216">
        <v>355450</v>
      </c>
    </row>
    <row r="431" spans="1:28" s="2" customFormat="1" ht="50.25" customHeight="1" x14ac:dyDescent="0.2">
      <c r="A431" s="207" t="s">
        <v>347</v>
      </c>
      <c r="B431" s="411">
        <v>331</v>
      </c>
      <c r="C431" s="77" t="s">
        <v>74</v>
      </c>
      <c r="D431" s="78" t="s">
        <v>74</v>
      </c>
      <c r="E431" s="66" t="s">
        <v>70</v>
      </c>
      <c r="F431" s="66" t="s">
        <v>135</v>
      </c>
      <c r="G431" s="66" t="s">
        <v>135</v>
      </c>
      <c r="H431" s="66" t="s">
        <v>135</v>
      </c>
      <c r="I431" s="66" t="s">
        <v>389</v>
      </c>
      <c r="J431" s="67" t="s">
        <v>135</v>
      </c>
      <c r="K431" s="309"/>
      <c r="L431" s="64">
        <f t="shared" ref="L431:AA432" si="216">L432</f>
        <v>160000</v>
      </c>
      <c r="M431" s="65">
        <f t="shared" si="216"/>
        <v>0</v>
      </c>
      <c r="N431" s="224">
        <f t="shared" si="216"/>
        <v>0</v>
      </c>
      <c r="O431" s="224">
        <f t="shared" si="216"/>
        <v>0</v>
      </c>
      <c r="P431" s="224">
        <f t="shared" si="216"/>
        <v>120000</v>
      </c>
      <c r="Q431" s="64">
        <f t="shared" si="216"/>
        <v>130000</v>
      </c>
      <c r="R431" s="224">
        <f t="shared" si="216"/>
        <v>0</v>
      </c>
      <c r="S431" s="224">
        <f t="shared" si="216"/>
        <v>-74000</v>
      </c>
      <c r="T431" s="224">
        <f t="shared" si="216"/>
        <v>46000</v>
      </c>
      <c r="U431" s="64">
        <f t="shared" si="216"/>
        <v>0</v>
      </c>
      <c r="V431" s="224">
        <f t="shared" si="216"/>
        <v>130000</v>
      </c>
      <c r="W431" s="223">
        <f t="shared" si="216"/>
        <v>0</v>
      </c>
      <c r="X431" s="223">
        <f t="shared" si="216"/>
        <v>0</v>
      </c>
      <c r="Y431" s="224">
        <f t="shared" si="216"/>
        <v>0</v>
      </c>
      <c r="Z431" s="225">
        <f t="shared" si="216"/>
        <v>0</v>
      </c>
      <c r="AA431" s="224">
        <f t="shared" si="216"/>
        <v>0</v>
      </c>
      <c r="AB431" s="224">
        <f t="shared" ref="Q431:AB432" si="217">AB432</f>
        <v>0</v>
      </c>
    </row>
    <row r="432" spans="1:28" s="2" customFormat="1" ht="32.25" customHeight="1" x14ac:dyDescent="0.2">
      <c r="A432" s="212" t="s">
        <v>52</v>
      </c>
      <c r="B432" s="411">
        <v>331</v>
      </c>
      <c r="C432" s="77" t="s">
        <v>74</v>
      </c>
      <c r="D432" s="78" t="s">
        <v>74</v>
      </c>
      <c r="E432" s="66" t="s">
        <v>70</v>
      </c>
      <c r="F432" s="66" t="s">
        <v>135</v>
      </c>
      <c r="G432" s="66" t="s">
        <v>135</v>
      </c>
      <c r="H432" s="66" t="s">
        <v>135</v>
      </c>
      <c r="I432" s="66" t="s">
        <v>389</v>
      </c>
      <c r="J432" s="67" t="s">
        <v>135</v>
      </c>
      <c r="K432" s="309" t="s">
        <v>53</v>
      </c>
      <c r="L432" s="64">
        <f t="shared" si="216"/>
        <v>160000</v>
      </c>
      <c r="M432" s="65">
        <f t="shared" si="216"/>
        <v>0</v>
      </c>
      <c r="N432" s="224">
        <f t="shared" si="216"/>
        <v>0</v>
      </c>
      <c r="O432" s="224">
        <f t="shared" si="216"/>
        <v>0</v>
      </c>
      <c r="P432" s="224">
        <f t="shared" si="216"/>
        <v>120000</v>
      </c>
      <c r="Q432" s="64">
        <f t="shared" si="217"/>
        <v>130000</v>
      </c>
      <c r="R432" s="224">
        <f t="shared" si="217"/>
        <v>0</v>
      </c>
      <c r="S432" s="224">
        <f t="shared" si="217"/>
        <v>-74000</v>
      </c>
      <c r="T432" s="224">
        <f t="shared" si="217"/>
        <v>46000</v>
      </c>
      <c r="U432" s="64">
        <f t="shared" si="217"/>
        <v>0</v>
      </c>
      <c r="V432" s="224">
        <f t="shared" si="217"/>
        <v>130000</v>
      </c>
      <c r="W432" s="223">
        <f t="shared" si="217"/>
        <v>0</v>
      </c>
      <c r="X432" s="223">
        <f t="shared" si="217"/>
        <v>0</v>
      </c>
      <c r="Y432" s="224">
        <f t="shared" si="217"/>
        <v>0</v>
      </c>
      <c r="Z432" s="225">
        <f t="shared" si="217"/>
        <v>0</v>
      </c>
      <c r="AA432" s="224">
        <f t="shared" si="217"/>
        <v>0</v>
      </c>
      <c r="AB432" s="224">
        <f t="shared" si="217"/>
        <v>0</v>
      </c>
    </row>
    <row r="433" spans="1:28" s="2" customFormat="1" ht="35.25" customHeight="1" x14ac:dyDescent="0.2">
      <c r="A433" s="212" t="s">
        <v>54</v>
      </c>
      <c r="B433" s="411">
        <v>331</v>
      </c>
      <c r="C433" s="77" t="s">
        <v>74</v>
      </c>
      <c r="D433" s="78" t="s">
        <v>74</v>
      </c>
      <c r="E433" s="66" t="s">
        <v>70</v>
      </c>
      <c r="F433" s="66" t="s">
        <v>135</v>
      </c>
      <c r="G433" s="66" t="s">
        <v>135</v>
      </c>
      <c r="H433" s="66" t="s">
        <v>135</v>
      </c>
      <c r="I433" s="66" t="s">
        <v>389</v>
      </c>
      <c r="J433" s="67" t="s">
        <v>135</v>
      </c>
      <c r="K433" s="309" t="s">
        <v>55</v>
      </c>
      <c r="L433" s="64">
        <v>160000</v>
      </c>
      <c r="M433" s="65">
        <v>0</v>
      </c>
      <c r="N433" s="224">
        <v>0</v>
      </c>
      <c r="O433" s="224">
        <v>0</v>
      </c>
      <c r="P433" s="224">
        <v>120000</v>
      </c>
      <c r="Q433" s="64">
        <v>130000</v>
      </c>
      <c r="R433" s="224">
        <v>0</v>
      </c>
      <c r="S433" s="224">
        <v>-74000</v>
      </c>
      <c r="T433" s="224">
        <f>S433+P433</f>
        <v>46000</v>
      </c>
      <c r="U433" s="64">
        <v>0</v>
      </c>
      <c r="V433" s="224">
        <v>130000</v>
      </c>
      <c r="W433" s="223">
        <v>0</v>
      </c>
      <c r="X433" s="223">
        <v>0</v>
      </c>
      <c r="Y433" s="224">
        <v>0</v>
      </c>
      <c r="Z433" s="225">
        <v>0</v>
      </c>
      <c r="AA433" s="224">
        <v>0</v>
      </c>
      <c r="AB433" s="224">
        <v>0</v>
      </c>
    </row>
    <row r="434" spans="1:28" s="100" customFormat="1" x14ac:dyDescent="0.2">
      <c r="A434" s="207" t="s">
        <v>91</v>
      </c>
      <c r="B434" s="411">
        <v>331</v>
      </c>
      <c r="C434" s="77" t="s">
        <v>74</v>
      </c>
      <c r="D434" s="78" t="s">
        <v>86</v>
      </c>
      <c r="E434" s="79"/>
      <c r="F434" s="79"/>
      <c r="G434" s="66"/>
      <c r="H434" s="66"/>
      <c r="I434" s="79"/>
      <c r="J434" s="80"/>
      <c r="K434" s="291"/>
      <c r="L434" s="64">
        <f t="shared" ref="L434:P440" si="218">L435</f>
        <v>160000</v>
      </c>
      <c r="M434" s="65">
        <f t="shared" si="218"/>
        <v>0</v>
      </c>
      <c r="N434" s="224">
        <f t="shared" si="218"/>
        <v>0</v>
      </c>
      <c r="O434" s="224">
        <f t="shared" si="218"/>
        <v>0</v>
      </c>
      <c r="P434" s="224">
        <f t="shared" si="218"/>
        <v>130000</v>
      </c>
      <c r="Q434" s="64">
        <f t="shared" ref="Q434:AB440" si="219">Q435</f>
        <v>260000</v>
      </c>
      <c r="R434" s="224">
        <f t="shared" si="219"/>
        <v>0</v>
      </c>
      <c r="S434" s="224">
        <f t="shared" si="219"/>
        <v>-60000</v>
      </c>
      <c r="T434" s="224">
        <f t="shared" si="219"/>
        <v>70000</v>
      </c>
      <c r="U434" s="64">
        <f t="shared" si="219"/>
        <v>130000</v>
      </c>
      <c r="V434" s="224">
        <f t="shared" si="219"/>
        <v>260000</v>
      </c>
      <c r="W434" s="223">
        <f t="shared" si="219"/>
        <v>0</v>
      </c>
      <c r="X434" s="223">
        <f t="shared" si="219"/>
        <v>0</v>
      </c>
      <c r="Y434" s="224">
        <f t="shared" si="219"/>
        <v>130000</v>
      </c>
      <c r="Z434" s="225">
        <f t="shared" si="219"/>
        <v>130000</v>
      </c>
      <c r="AA434" s="224">
        <f t="shared" si="219"/>
        <v>0</v>
      </c>
      <c r="AB434" s="224">
        <f t="shared" si="219"/>
        <v>130000</v>
      </c>
    </row>
    <row r="435" spans="1:28" s="100" customFormat="1" x14ac:dyDescent="0.2">
      <c r="A435" s="226" t="s">
        <v>361</v>
      </c>
      <c r="B435" s="411">
        <v>331</v>
      </c>
      <c r="C435" s="77" t="s">
        <v>74</v>
      </c>
      <c r="D435" s="78" t="s">
        <v>86</v>
      </c>
      <c r="E435" s="81" t="s">
        <v>70</v>
      </c>
      <c r="F435" s="81" t="s">
        <v>135</v>
      </c>
      <c r="G435" s="66" t="s">
        <v>135</v>
      </c>
      <c r="H435" s="66" t="s">
        <v>135</v>
      </c>
      <c r="I435" s="81" t="s">
        <v>136</v>
      </c>
      <c r="J435" s="67" t="s">
        <v>135</v>
      </c>
      <c r="K435" s="292"/>
      <c r="L435" s="64">
        <f t="shared" si="218"/>
        <v>160000</v>
      </c>
      <c r="M435" s="65">
        <f t="shared" si="218"/>
        <v>0</v>
      </c>
      <c r="N435" s="224">
        <f t="shared" si="218"/>
        <v>0</v>
      </c>
      <c r="O435" s="224">
        <f t="shared" si="218"/>
        <v>0</v>
      </c>
      <c r="P435" s="224">
        <f>P436+P439</f>
        <v>130000</v>
      </c>
      <c r="Q435" s="224">
        <f t="shared" ref="Q435:AB435" si="220">Q436+Q439</f>
        <v>260000</v>
      </c>
      <c r="R435" s="224">
        <f t="shared" si="220"/>
        <v>0</v>
      </c>
      <c r="S435" s="224">
        <f t="shared" si="220"/>
        <v>-60000</v>
      </c>
      <c r="T435" s="224">
        <f t="shared" si="220"/>
        <v>70000</v>
      </c>
      <c r="U435" s="225">
        <f t="shared" si="220"/>
        <v>130000</v>
      </c>
      <c r="V435" s="224">
        <f t="shared" si="220"/>
        <v>260000</v>
      </c>
      <c r="W435" s="224">
        <f t="shared" si="220"/>
        <v>0</v>
      </c>
      <c r="X435" s="223">
        <f t="shared" si="220"/>
        <v>0</v>
      </c>
      <c r="Y435" s="224">
        <f t="shared" si="220"/>
        <v>130000</v>
      </c>
      <c r="Z435" s="225">
        <f t="shared" si="220"/>
        <v>130000</v>
      </c>
      <c r="AA435" s="224">
        <f t="shared" si="220"/>
        <v>0</v>
      </c>
      <c r="AB435" s="224">
        <f t="shared" si="220"/>
        <v>130000</v>
      </c>
    </row>
    <row r="436" spans="1:28" s="100" customFormat="1" x14ac:dyDescent="0.2">
      <c r="A436" s="207" t="s">
        <v>11</v>
      </c>
      <c r="B436" s="411">
        <v>331</v>
      </c>
      <c r="C436" s="77" t="s">
        <v>74</v>
      </c>
      <c r="D436" s="78" t="s">
        <v>86</v>
      </c>
      <c r="E436" s="66" t="s">
        <v>70</v>
      </c>
      <c r="F436" s="66" t="s">
        <v>135</v>
      </c>
      <c r="G436" s="66" t="s">
        <v>135</v>
      </c>
      <c r="H436" s="66" t="s">
        <v>135</v>
      </c>
      <c r="I436" s="66" t="s">
        <v>14</v>
      </c>
      <c r="J436" s="67" t="s">
        <v>135</v>
      </c>
      <c r="K436" s="309"/>
      <c r="L436" s="64">
        <f t="shared" si="218"/>
        <v>160000</v>
      </c>
      <c r="M436" s="65">
        <f t="shared" si="218"/>
        <v>0</v>
      </c>
      <c r="N436" s="224">
        <f t="shared" si="218"/>
        <v>0</v>
      </c>
      <c r="O436" s="224">
        <f t="shared" si="218"/>
        <v>0</v>
      </c>
      <c r="P436" s="224">
        <f t="shared" si="218"/>
        <v>0</v>
      </c>
      <c r="Q436" s="64">
        <f t="shared" si="219"/>
        <v>130000</v>
      </c>
      <c r="R436" s="224">
        <f t="shared" si="219"/>
        <v>0</v>
      </c>
      <c r="S436" s="224">
        <f t="shared" si="219"/>
        <v>0</v>
      </c>
      <c r="T436" s="224">
        <f t="shared" si="219"/>
        <v>0</v>
      </c>
      <c r="U436" s="64">
        <f t="shared" si="219"/>
        <v>130000</v>
      </c>
      <c r="V436" s="224">
        <f t="shared" si="219"/>
        <v>130000</v>
      </c>
      <c r="W436" s="223">
        <f t="shared" si="219"/>
        <v>0</v>
      </c>
      <c r="X436" s="223">
        <f t="shared" si="219"/>
        <v>0</v>
      </c>
      <c r="Y436" s="224">
        <f t="shared" si="219"/>
        <v>130000</v>
      </c>
      <c r="Z436" s="225">
        <f t="shared" si="219"/>
        <v>130000</v>
      </c>
      <c r="AA436" s="224">
        <f t="shared" si="219"/>
        <v>0</v>
      </c>
      <c r="AB436" s="224">
        <f t="shared" si="219"/>
        <v>130000</v>
      </c>
    </row>
    <row r="437" spans="1:28" s="100" customFormat="1" ht="51" x14ac:dyDescent="0.2">
      <c r="A437" s="212" t="s">
        <v>67</v>
      </c>
      <c r="B437" s="411">
        <v>331</v>
      </c>
      <c r="C437" s="77" t="s">
        <v>74</v>
      </c>
      <c r="D437" s="78" t="s">
        <v>86</v>
      </c>
      <c r="E437" s="66" t="s">
        <v>70</v>
      </c>
      <c r="F437" s="66" t="s">
        <v>135</v>
      </c>
      <c r="G437" s="66" t="s">
        <v>135</v>
      </c>
      <c r="H437" s="66" t="s">
        <v>135</v>
      </c>
      <c r="I437" s="66" t="s">
        <v>14</v>
      </c>
      <c r="J437" s="67" t="s">
        <v>135</v>
      </c>
      <c r="K437" s="309" t="s">
        <v>60</v>
      </c>
      <c r="L437" s="64">
        <f t="shared" si="218"/>
        <v>160000</v>
      </c>
      <c r="M437" s="65">
        <f t="shared" si="218"/>
        <v>0</v>
      </c>
      <c r="N437" s="224">
        <f t="shared" si="218"/>
        <v>0</v>
      </c>
      <c r="O437" s="224">
        <f t="shared" si="218"/>
        <v>0</v>
      </c>
      <c r="P437" s="224">
        <f t="shared" si="218"/>
        <v>0</v>
      </c>
      <c r="Q437" s="64">
        <f t="shared" si="219"/>
        <v>130000</v>
      </c>
      <c r="R437" s="224">
        <f t="shared" si="219"/>
        <v>0</v>
      </c>
      <c r="S437" s="224">
        <f t="shared" si="219"/>
        <v>0</v>
      </c>
      <c r="T437" s="224">
        <f t="shared" si="219"/>
        <v>0</v>
      </c>
      <c r="U437" s="64">
        <f t="shared" si="219"/>
        <v>130000</v>
      </c>
      <c r="V437" s="224">
        <f t="shared" si="219"/>
        <v>130000</v>
      </c>
      <c r="W437" s="223">
        <f t="shared" si="219"/>
        <v>0</v>
      </c>
      <c r="X437" s="223">
        <f t="shared" si="219"/>
        <v>0</v>
      </c>
      <c r="Y437" s="224">
        <f t="shared" si="219"/>
        <v>130000</v>
      </c>
      <c r="Z437" s="225">
        <f t="shared" si="219"/>
        <v>130000</v>
      </c>
      <c r="AA437" s="224">
        <f t="shared" si="219"/>
        <v>0</v>
      </c>
      <c r="AB437" s="224">
        <f t="shared" si="219"/>
        <v>130000</v>
      </c>
    </row>
    <row r="438" spans="1:28" s="100" customFormat="1" ht="25.5" x14ac:dyDescent="0.2">
      <c r="A438" s="212" t="s">
        <v>61</v>
      </c>
      <c r="B438" s="411">
        <v>331</v>
      </c>
      <c r="C438" s="77" t="s">
        <v>74</v>
      </c>
      <c r="D438" s="78" t="s">
        <v>86</v>
      </c>
      <c r="E438" s="66" t="s">
        <v>70</v>
      </c>
      <c r="F438" s="66" t="s">
        <v>135</v>
      </c>
      <c r="G438" s="66" t="s">
        <v>135</v>
      </c>
      <c r="H438" s="66" t="s">
        <v>135</v>
      </c>
      <c r="I438" s="66" t="s">
        <v>14</v>
      </c>
      <c r="J438" s="67" t="s">
        <v>135</v>
      </c>
      <c r="K438" s="309" t="s">
        <v>171</v>
      </c>
      <c r="L438" s="64">
        <v>160000</v>
      </c>
      <c r="M438" s="65">
        <v>0</v>
      </c>
      <c r="N438" s="224">
        <v>0</v>
      </c>
      <c r="O438" s="224">
        <v>0</v>
      </c>
      <c r="P438" s="224">
        <v>0</v>
      </c>
      <c r="Q438" s="64">
        <v>130000</v>
      </c>
      <c r="R438" s="224">
        <v>0</v>
      </c>
      <c r="S438" s="224">
        <v>0</v>
      </c>
      <c r="T438" s="224">
        <v>0</v>
      </c>
      <c r="U438" s="64">
        <v>130000</v>
      </c>
      <c r="V438" s="224">
        <v>130000</v>
      </c>
      <c r="W438" s="223">
        <v>0</v>
      </c>
      <c r="X438" s="223">
        <v>0</v>
      </c>
      <c r="Y438" s="224">
        <v>130000</v>
      </c>
      <c r="Z438" s="225">
        <v>130000</v>
      </c>
      <c r="AA438" s="224">
        <v>0</v>
      </c>
      <c r="AB438" s="224">
        <v>130000</v>
      </c>
    </row>
    <row r="439" spans="1:28" s="100" customFormat="1" ht="38.25" x14ac:dyDescent="0.2">
      <c r="A439" s="207" t="s">
        <v>347</v>
      </c>
      <c r="B439" s="411">
        <v>331</v>
      </c>
      <c r="C439" s="77" t="s">
        <v>74</v>
      </c>
      <c r="D439" s="78" t="s">
        <v>86</v>
      </c>
      <c r="E439" s="66" t="s">
        <v>70</v>
      </c>
      <c r="F439" s="66" t="s">
        <v>135</v>
      </c>
      <c r="G439" s="66" t="s">
        <v>135</v>
      </c>
      <c r="H439" s="66" t="s">
        <v>135</v>
      </c>
      <c r="I439" s="66" t="s">
        <v>389</v>
      </c>
      <c r="J439" s="67" t="s">
        <v>135</v>
      </c>
      <c r="K439" s="309"/>
      <c r="L439" s="64">
        <f t="shared" si="218"/>
        <v>160000</v>
      </c>
      <c r="M439" s="65">
        <f t="shared" si="218"/>
        <v>0</v>
      </c>
      <c r="N439" s="224">
        <f t="shared" si="218"/>
        <v>0</v>
      </c>
      <c r="O439" s="224">
        <f t="shared" si="218"/>
        <v>0</v>
      </c>
      <c r="P439" s="224">
        <f t="shared" si="218"/>
        <v>130000</v>
      </c>
      <c r="Q439" s="64">
        <f t="shared" si="219"/>
        <v>130000</v>
      </c>
      <c r="R439" s="224">
        <f t="shared" si="219"/>
        <v>0</v>
      </c>
      <c r="S439" s="224">
        <f t="shared" si="219"/>
        <v>-60000</v>
      </c>
      <c r="T439" s="224">
        <f t="shared" si="219"/>
        <v>70000</v>
      </c>
      <c r="U439" s="64">
        <f t="shared" si="219"/>
        <v>0</v>
      </c>
      <c r="V439" s="224">
        <f t="shared" si="219"/>
        <v>130000</v>
      </c>
      <c r="W439" s="223">
        <f t="shared" si="219"/>
        <v>0</v>
      </c>
      <c r="X439" s="223">
        <f t="shared" si="219"/>
        <v>0</v>
      </c>
      <c r="Y439" s="224">
        <f t="shared" si="219"/>
        <v>0</v>
      </c>
      <c r="Z439" s="225">
        <f t="shared" si="219"/>
        <v>0</v>
      </c>
      <c r="AA439" s="224">
        <f t="shared" si="219"/>
        <v>0</v>
      </c>
      <c r="AB439" s="224">
        <f t="shared" si="219"/>
        <v>0</v>
      </c>
    </row>
    <row r="440" spans="1:28" s="100" customFormat="1" ht="51" x14ac:dyDescent="0.2">
      <c r="A440" s="212" t="s">
        <v>67</v>
      </c>
      <c r="B440" s="411">
        <v>331</v>
      </c>
      <c r="C440" s="77" t="s">
        <v>74</v>
      </c>
      <c r="D440" s="78" t="s">
        <v>86</v>
      </c>
      <c r="E440" s="66" t="s">
        <v>70</v>
      </c>
      <c r="F440" s="66" t="s">
        <v>135</v>
      </c>
      <c r="G440" s="66" t="s">
        <v>135</v>
      </c>
      <c r="H440" s="66" t="s">
        <v>135</v>
      </c>
      <c r="I440" s="66" t="s">
        <v>389</v>
      </c>
      <c r="J440" s="67" t="s">
        <v>135</v>
      </c>
      <c r="K440" s="309" t="s">
        <v>60</v>
      </c>
      <c r="L440" s="64">
        <f t="shared" si="218"/>
        <v>160000</v>
      </c>
      <c r="M440" s="65">
        <f t="shared" si="218"/>
        <v>0</v>
      </c>
      <c r="N440" s="224">
        <f t="shared" si="218"/>
        <v>0</v>
      </c>
      <c r="O440" s="224">
        <f t="shared" si="218"/>
        <v>0</v>
      </c>
      <c r="P440" s="224">
        <f t="shared" si="218"/>
        <v>130000</v>
      </c>
      <c r="Q440" s="64">
        <f t="shared" si="219"/>
        <v>130000</v>
      </c>
      <c r="R440" s="224">
        <f t="shared" si="219"/>
        <v>0</v>
      </c>
      <c r="S440" s="224">
        <f t="shared" si="219"/>
        <v>-60000</v>
      </c>
      <c r="T440" s="224">
        <f t="shared" si="219"/>
        <v>70000</v>
      </c>
      <c r="U440" s="64">
        <f t="shared" si="219"/>
        <v>0</v>
      </c>
      <c r="V440" s="224">
        <f t="shared" si="219"/>
        <v>130000</v>
      </c>
      <c r="W440" s="223">
        <f t="shared" si="219"/>
        <v>0</v>
      </c>
      <c r="X440" s="223">
        <f t="shared" si="219"/>
        <v>0</v>
      </c>
      <c r="Y440" s="224">
        <f t="shared" si="219"/>
        <v>0</v>
      </c>
      <c r="Z440" s="225">
        <f t="shared" si="219"/>
        <v>0</v>
      </c>
      <c r="AA440" s="224">
        <f t="shared" si="219"/>
        <v>0</v>
      </c>
      <c r="AB440" s="224">
        <f t="shared" si="219"/>
        <v>0</v>
      </c>
    </row>
    <row r="441" spans="1:28" s="100" customFormat="1" ht="25.5" x14ac:dyDescent="0.2">
      <c r="A441" s="212" t="s">
        <v>61</v>
      </c>
      <c r="B441" s="411">
        <v>331</v>
      </c>
      <c r="C441" s="77" t="s">
        <v>74</v>
      </c>
      <c r="D441" s="78" t="s">
        <v>86</v>
      </c>
      <c r="E441" s="66" t="s">
        <v>70</v>
      </c>
      <c r="F441" s="66" t="s">
        <v>135</v>
      </c>
      <c r="G441" s="66" t="s">
        <v>135</v>
      </c>
      <c r="H441" s="66" t="s">
        <v>135</v>
      </c>
      <c r="I441" s="66" t="s">
        <v>389</v>
      </c>
      <c r="J441" s="67" t="s">
        <v>135</v>
      </c>
      <c r="K441" s="309" t="s">
        <v>171</v>
      </c>
      <c r="L441" s="64">
        <v>160000</v>
      </c>
      <c r="M441" s="65">
        <v>0</v>
      </c>
      <c r="N441" s="224">
        <v>0</v>
      </c>
      <c r="O441" s="224">
        <v>0</v>
      </c>
      <c r="P441" s="224">
        <v>130000</v>
      </c>
      <c r="Q441" s="64">
        <v>130000</v>
      </c>
      <c r="R441" s="224">
        <v>0</v>
      </c>
      <c r="S441" s="224">
        <v>-60000</v>
      </c>
      <c r="T441" s="224">
        <f>S441+P441</f>
        <v>70000</v>
      </c>
      <c r="U441" s="64">
        <v>0</v>
      </c>
      <c r="V441" s="224">
        <v>130000</v>
      </c>
      <c r="W441" s="223">
        <v>0</v>
      </c>
      <c r="X441" s="223">
        <v>0</v>
      </c>
      <c r="Y441" s="224">
        <v>0</v>
      </c>
      <c r="Z441" s="225">
        <v>0</v>
      </c>
      <c r="AA441" s="224">
        <v>0</v>
      </c>
      <c r="AB441" s="224">
        <v>0</v>
      </c>
    </row>
    <row r="442" spans="1:28" s="100" customFormat="1" x14ac:dyDescent="0.2">
      <c r="A442" s="207" t="s">
        <v>36</v>
      </c>
      <c r="B442" s="58" t="s">
        <v>109</v>
      </c>
      <c r="C442" s="58" t="s">
        <v>75</v>
      </c>
      <c r="D442" s="59"/>
      <c r="E442" s="79"/>
      <c r="F442" s="79"/>
      <c r="G442" s="66"/>
      <c r="H442" s="66"/>
      <c r="I442" s="79"/>
      <c r="J442" s="80"/>
      <c r="K442" s="291"/>
      <c r="L442" s="64" t="e">
        <f t="shared" ref="L442:P444" si="221">L443</f>
        <v>#REF!</v>
      </c>
      <c r="M442" s="65" t="e">
        <f t="shared" si="221"/>
        <v>#REF!</v>
      </c>
      <c r="N442" s="224">
        <f t="shared" si="221"/>
        <v>116979580.75</v>
      </c>
      <c r="O442" s="224">
        <f t="shared" si="221"/>
        <v>9038312.8200000003</v>
      </c>
      <c r="P442" s="224">
        <f t="shared" si="221"/>
        <v>126017893.57000001</v>
      </c>
      <c r="Q442" s="64">
        <f t="shared" ref="Q442:AB444" si="222">Q443</f>
        <v>167954532.53999999</v>
      </c>
      <c r="R442" s="224">
        <f t="shared" si="222"/>
        <v>0</v>
      </c>
      <c r="S442" s="224">
        <f t="shared" si="222"/>
        <v>8245667.3799999999</v>
      </c>
      <c r="T442" s="224">
        <f t="shared" si="222"/>
        <v>134263560.95000002</v>
      </c>
      <c r="U442" s="64">
        <f t="shared" si="222"/>
        <v>82927266.269999996</v>
      </c>
      <c r="V442" s="224">
        <f t="shared" si="222"/>
        <v>0</v>
      </c>
      <c r="W442" s="223">
        <f t="shared" si="222"/>
        <v>0</v>
      </c>
      <c r="X442" s="223">
        <f t="shared" si="222"/>
        <v>0</v>
      </c>
      <c r="Y442" s="224">
        <f t="shared" si="222"/>
        <v>82927266.269999996</v>
      </c>
      <c r="Z442" s="225">
        <f t="shared" si="222"/>
        <v>0</v>
      </c>
      <c r="AA442" s="224">
        <f t="shared" si="222"/>
        <v>0</v>
      </c>
      <c r="AB442" s="224">
        <f t="shared" si="222"/>
        <v>0</v>
      </c>
    </row>
    <row r="443" spans="1:28" s="100" customFormat="1" x14ac:dyDescent="0.2">
      <c r="A443" s="207" t="s">
        <v>92</v>
      </c>
      <c r="B443" s="58" t="s">
        <v>109</v>
      </c>
      <c r="C443" s="58" t="s">
        <v>75</v>
      </c>
      <c r="D443" s="59" t="s">
        <v>69</v>
      </c>
      <c r="E443" s="79"/>
      <c r="F443" s="79"/>
      <c r="G443" s="66"/>
      <c r="H443" s="66"/>
      <c r="I443" s="79"/>
      <c r="J443" s="80"/>
      <c r="K443" s="291"/>
      <c r="L443" s="64" t="e">
        <f t="shared" si="221"/>
        <v>#REF!</v>
      </c>
      <c r="M443" s="65" t="e">
        <f t="shared" si="221"/>
        <v>#REF!</v>
      </c>
      <c r="N443" s="224">
        <f t="shared" ref="N443:U443" si="223">N444</f>
        <v>116979580.75</v>
      </c>
      <c r="O443" s="224">
        <f t="shared" si="223"/>
        <v>9038312.8200000003</v>
      </c>
      <c r="P443" s="224">
        <f t="shared" si="223"/>
        <v>126017893.57000001</v>
      </c>
      <c r="Q443" s="64">
        <f t="shared" si="223"/>
        <v>167954532.53999999</v>
      </c>
      <c r="R443" s="224">
        <f t="shared" si="223"/>
        <v>0</v>
      </c>
      <c r="S443" s="224">
        <f t="shared" si="223"/>
        <v>8245667.3799999999</v>
      </c>
      <c r="T443" s="224">
        <f t="shared" si="223"/>
        <v>134263560.95000002</v>
      </c>
      <c r="U443" s="64">
        <f t="shared" si="223"/>
        <v>82927266.269999996</v>
      </c>
      <c r="V443" s="224">
        <f t="shared" si="222"/>
        <v>0</v>
      </c>
      <c r="W443" s="223">
        <f t="shared" si="222"/>
        <v>0</v>
      </c>
      <c r="X443" s="223">
        <f t="shared" si="222"/>
        <v>0</v>
      </c>
      <c r="Y443" s="224">
        <f t="shared" si="222"/>
        <v>82927266.269999996</v>
      </c>
      <c r="Z443" s="225">
        <f t="shared" si="222"/>
        <v>0</v>
      </c>
      <c r="AA443" s="224">
        <f t="shared" si="222"/>
        <v>0</v>
      </c>
      <c r="AB443" s="224">
        <f t="shared" si="222"/>
        <v>0</v>
      </c>
    </row>
    <row r="444" spans="1:28" ht="25.5" x14ac:dyDescent="0.2">
      <c r="A444" s="212" t="s">
        <v>339</v>
      </c>
      <c r="B444" s="58" t="s">
        <v>109</v>
      </c>
      <c r="C444" s="58" t="s">
        <v>75</v>
      </c>
      <c r="D444" s="59" t="s">
        <v>69</v>
      </c>
      <c r="E444" s="81" t="s">
        <v>69</v>
      </c>
      <c r="F444" s="81" t="s">
        <v>135</v>
      </c>
      <c r="G444" s="66" t="s">
        <v>135</v>
      </c>
      <c r="H444" s="66" t="s">
        <v>135</v>
      </c>
      <c r="I444" s="81" t="s">
        <v>136</v>
      </c>
      <c r="J444" s="67" t="s">
        <v>135</v>
      </c>
      <c r="K444" s="292"/>
      <c r="L444" s="68" t="e">
        <f t="shared" si="221"/>
        <v>#REF!</v>
      </c>
      <c r="M444" s="69" t="e">
        <f t="shared" si="221"/>
        <v>#REF!</v>
      </c>
      <c r="N444" s="216">
        <f t="shared" si="221"/>
        <v>116979580.75</v>
      </c>
      <c r="O444" s="216">
        <f t="shared" si="221"/>
        <v>9038312.8200000003</v>
      </c>
      <c r="P444" s="216">
        <f t="shared" si="221"/>
        <v>126017893.57000001</v>
      </c>
      <c r="Q444" s="68">
        <f t="shared" si="222"/>
        <v>167954532.53999999</v>
      </c>
      <c r="R444" s="216">
        <f t="shared" si="222"/>
        <v>0</v>
      </c>
      <c r="S444" s="216">
        <f t="shared" si="222"/>
        <v>8245667.3799999999</v>
      </c>
      <c r="T444" s="216">
        <f t="shared" si="222"/>
        <v>134263560.95000002</v>
      </c>
      <c r="U444" s="68">
        <f t="shared" si="222"/>
        <v>82927266.269999996</v>
      </c>
      <c r="V444" s="216">
        <f t="shared" si="222"/>
        <v>0</v>
      </c>
      <c r="W444" s="215">
        <f t="shared" si="222"/>
        <v>0</v>
      </c>
      <c r="X444" s="215">
        <f t="shared" si="222"/>
        <v>0</v>
      </c>
      <c r="Y444" s="216">
        <f t="shared" si="222"/>
        <v>82927266.269999996</v>
      </c>
      <c r="Z444" s="217">
        <f t="shared" si="222"/>
        <v>0</v>
      </c>
      <c r="AA444" s="216">
        <f t="shared" si="222"/>
        <v>0</v>
      </c>
      <c r="AB444" s="216">
        <f t="shared" si="222"/>
        <v>0</v>
      </c>
    </row>
    <row r="445" spans="1:28" ht="25.5" x14ac:dyDescent="0.2">
      <c r="A445" s="226" t="s">
        <v>341</v>
      </c>
      <c r="B445" s="58" t="s">
        <v>109</v>
      </c>
      <c r="C445" s="58" t="s">
        <v>75</v>
      </c>
      <c r="D445" s="59" t="s">
        <v>69</v>
      </c>
      <c r="E445" s="81" t="s">
        <v>69</v>
      </c>
      <c r="F445" s="81" t="s">
        <v>137</v>
      </c>
      <c r="G445" s="66" t="s">
        <v>135</v>
      </c>
      <c r="H445" s="66" t="s">
        <v>135</v>
      </c>
      <c r="I445" s="81" t="s">
        <v>136</v>
      </c>
      <c r="J445" s="67" t="s">
        <v>135</v>
      </c>
      <c r="K445" s="292"/>
      <c r="L445" s="68" t="e">
        <f>#REF!</f>
        <v>#REF!</v>
      </c>
      <c r="M445" s="69" t="e">
        <f>#REF!</f>
        <v>#REF!</v>
      </c>
      <c r="N445" s="216">
        <f>N451</f>
        <v>116979580.75</v>
      </c>
      <c r="O445" s="216">
        <f>O451</f>
        <v>9038312.8200000003</v>
      </c>
      <c r="P445" s="216">
        <f>P451+P449+P454</f>
        <v>126017893.57000001</v>
      </c>
      <c r="Q445" s="216">
        <f t="shared" ref="Q445:AB445" si="224">Q451+Q449+Q454</f>
        <v>167954532.53999999</v>
      </c>
      <c r="R445" s="216">
        <f t="shared" si="224"/>
        <v>0</v>
      </c>
      <c r="S445" s="216">
        <f t="shared" si="224"/>
        <v>8245667.3799999999</v>
      </c>
      <c r="T445" s="216">
        <f t="shared" si="224"/>
        <v>134263560.95000002</v>
      </c>
      <c r="U445" s="217">
        <f t="shared" si="224"/>
        <v>82927266.269999996</v>
      </c>
      <c r="V445" s="216">
        <f t="shared" si="224"/>
        <v>0</v>
      </c>
      <c r="W445" s="216">
        <f t="shared" si="224"/>
        <v>0</v>
      </c>
      <c r="X445" s="215">
        <f t="shared" si="224"/>
        <v>0</v>
      </c>
      <c r="Y445" s="216">
        <f t="shared" si="224"/>
        <v>82927266.269999996</v>
      </c>
      <c r="Z445" s="217">
        <f t="shared" si="224"/>
        <v>0</v>
      </c>
      <c r="AA445" s="216">
        <f t="shared" si="224"/>
        <v>0</v>
      </c>
      <c r="AB445" s="216">
        <f t="shared" si="224"/>
        <v>0</v>
      </c>
    </row>
    <row r="446" spans="1:28" s="100" customFormat="1" ht="15" hidden="1" customHeight="1" x14ac:dyDescent="0.2">
      <c r="A446" s="286" t="s">
        <v>154</v>
      </c>
      <c r="B446" s="58" t="s">
        <v>109</v>
      </c>
      <c r="C446" s="58" t="s">
        <v>75</v>
      </c>
      <c r="D446" s="59" t="s">
        <v>69</v>
      </c>
      <c r="E446" s="66" t="s">
        <v>69</v>
      </c>
      <c r="F446" s="66" t="s">
        <v>137</v>
      </c>
      <c r="G446" s="66" t="s">
        <v>135</v>
      </c>
      <c r="H446" s="66" t="s">
        <v>135</v>
      </c>
      <c r="I446" s="81" t="s">
        <v>12</v>
      </c>
      <c r="J446" s="67" t="s">
        <v>135</v>
      </c>
      <c r="K446" s="291" t="s">
        <v>57</v>
      </c>
      <c r="L446" s="64">
        <f t="shared" ref="L446:AB446" si="225">L447</f>
        <v>0</v>
      </c>
      <c r="M446" s="65">
        <f t="shared" si="225"/>
        <v>0</v>
      </c>
      <c r="N446" s="224">
        <f t="shared" si="225"/>
        <v>0</v>
      </c>
      <c r="O446" s="224">
        <f t="shared" si="225"/>
        <v>0</v>
      </c>
      <c r="P446" s="224">
        <f t="shared" si="225"/>
        <v>0</v>
      </c>
      <c r="Q446" s="64">
        <f t="shared" si="225"/>
        <v>0</v>
      </c>
      <c r="R446" s="224">
        <f t="shared" si="225"/>
        <v>0</v>
      </c>
      <c r="S446" s="224">
        <f t="shared" si="225"/>
        <v>0</v>
      </c>
      <c r="T446" s="224">
        <f t="shared" si="225"/>
        <v>0</v>
      </c>
      <c r="U446" s="64">
        <f t="shared" si="225"/>
        <v>0</v>
      </c>
      <c r="V446" s="224">
        <f t="shared" si="225"/>
        <v>0</v>
      </c>
      <c r="W446" s="223">
        <f t="shared" si="225"/>
        <v>0</v>
      </c>
      <c r="X446" s="223">
        <f t="shared" si="225"/>
        <v>0</v>
      </c>
      <c r="Y446" s="224">
        <f t="shared" si="225"/>
        <v>0</v>
      </c>
      <c r="Z446" s="225">
        <f t="shared" si="225"/>
        <v>0</v>
      </c>
      <c r="AA446" s="224">
        <f t="shared" si="225"/>
        <v>0</v>
      </c>
      <c r="AB446" s="224">
        <f t="shared" si="225"/>
        <v>0</v>
      </c>
    </row>
    <row r="447" spans="1:28" s="100" customFormat="1" ht="17.25" hidden="1" customHeight="1" x14ac:dyDescent="0.2">
      <c r="A447" s="212" t="s">
        <v>155</v>
      </c>
      <c r="B447" s="58" t="s">
        <v>109</v>
      </c>
      <c r="C447" s="58" t="s">
        <v>75</v>
      </c>
      <c r="D447" s="59" t="s">
        <v>69</v>
      </c>
      <c r="E447" s="66" t="s">
        <v>69</v>
      </c>
      <c r="F447" s="66" t="s">
        <v>137</v>
      </c>
      <c r="G447" s="66" t="s">
        <v>135</v>
      </c>
      <c r="H447" s="66" t="s">
        <v>135</v>
      </c>
      <c r="I447" s="81" t="s">
        <v>12</v>
      </c>
      <c r="J447" s="67" t="s">
        <v>135</v>
      </c>
      <c r="K447" s="291" t="s">
        <v>153</v>
      </c>
      <c r="L447" s="64">
        <v>0</v>
      </c>
      <c r="M447" s="65">
        <v>0</v>
      </c>
      <c r="N447" s="224">
        <v>0</v>
      </c>
      <c r="O447" s="224">
        <v>0</v>
      </c>
      <c r="P447" s="224">
        <v>0</v>
      </c>
      <c r="Q447" s="64">
        <v>0</v>
      </c>
      <c r="R447" s="224">
        <v>0</v>
      </c>
      <c r="S447" s="224">
        <v>0</v>
      </c>
      <c r="T447" s="224">
        <v>0</v>
      </c>
      <c r="U447" s="64">
        <v>0</v>
      </c>
      <c r="V447" s="224">
        <v>0</v>
      </c>
      <c r="W447" s="223">
        <v>0</v>
      </c>
      <c r="X447" s="223">
        <v>0</v>
      </c>
      <c r="Y447" s="224">
        <v>0</v>
      </c>
      <c r="Z447" s="225">
        <v>0</v>
      </c>
      <c r="AA447" s="224">
        <v>0</v>
      </c>
      <c r="AB447" s="224">
        <v>0</v>
      </c>
    </row>
    <row r="448" spans="1:28" s="100" customFormat="1" ht="30.75" customHeight="1" x14ac:dyDescent="0.2">
      <c r="A448" s="207" t="s">
        <v>406</v>
      </c>
      <c r="B448" s="411">
        <v>331</v>
      </c>
      <c r="C448" s="58" t="s">
        <v>75</v>
      </c>
      <c r="D448" s="59" t="s">
        <v>69</v>
      </c>
      <c r="E448" s="81" t="s">
        <v>69</v>
      </c>
      <c r="F448" s="81" t="s">
        <v>137</v>
      </c>
      <c r="G448" s="66" t="s">
        <v>135</v>
      </c>
      <c r="H448" s="66" t="s">
        <v>135</v>
      </c>
      <c r="I448" s="71" t="s">
        <v>405</v>
      </c>
      <c r="J448" s="67" t="s">
        <v>135</v>
      </c>
      <c r="K448" s="372"/>
      <c r="L448" s="68">
        <f t="shared" ref="L448:AB449" si="226">L449</f>
        <v>408746.18000000005</v>
      </c>
      <c r="M448" s="69">
        <f t="shared" si="226"/>
        <v>0</v>
      </c>
      <c r="N448" s="216">
        <f t="shared" si="226"/>
        <v>116979580.75</v>
      </c>
      <c r="O448" s="216">
        <f t="shared" si="226"/>
        <v>9038312.8200000003</v>
      </c>
      <c r="P448" s="216">
        <f t="shared" si="226"/>
        <v>2881492.78</v>
      </c>
      <c r="Q448" s="68">
        <f t="shared" si="226"/>
        <v>82927266.269999996</v>
      </c>
      <c r="R448" s="216">
        <f t="shared" si="226"/>
        <v>0</v>
      </c>
      <c r="S448" s="216">
        <f t="shared" si="226"/>
        <v>0</v>
      </c>
      <c r="T448" s="216">
        <f t="shared" si="226"/>
        <v>2881492.78</v>
      </c>
      <c r="U448" s="68">
        <f t="shared" si="226"/>
        <v>1896128.63</v>
      </c>
      <c r="V448" s="216">
        <f t="shared" si="226"/>
        <v>0</v>
      </c>
      <c r="W448" s="215">
        <f t="shared" si="226"/>
        <v>0</v>
      </c>
      <c r="X448" s="215">
        <f t="shared" si="226"/>
        <v>0</v>
      </c>
      <c r="Y448" s="216">
        <f t="shared" si="226"/>
        <v>1896128.63</v>
      </c>
      <c r="Z448" s="217">
        <f t="shared" si="226"/>
        <v>0</v>
      </c>
      <c r="AA448" s="216">
        <f t="shared" si="226"/>
        <v>0</v>
      </c>
      <c r="AB448" s="216">
        <f t="shared" si="226"/>
        <v>0</v>
      </c>
    </row>
    <row r="449" spans="1:28" s="100" customFormat="1" ht="31.5" customHeight="1" x14ac:dyDescent="0.2">
      <c r="A449" s="207" t="s">
        <v>187</v>
      </c>
      <c r="B449" s="411">
        <v>331</v>
      </c>
      <c r="C449" s="58" t="s">
        <v>75</v>
      </c>
      <c r="D449" s="59" t="s">
        <v>69</v>
      </c>
      <c r="E449" s="81" t="s">
        <v>69</v>
      </c>
      <c r="F449" s="81" t="s">
        <v>137</v>
      </c>
      <c r="G449" s="66" t="s">
        <v>135</v>
      </c>
      <c r="H449" s="66" t="s">
        <v>135</v>
      </c>
      <c r="I449" s="71" t="s">
        <v>405</v>
      </c>
      <c r="J449" s="67" t="s">
        <v>135</v>
      </c>
      <c r="K449" s="372" t="s">
        <v>160</v>
      </c>
      <c r="L449" s="68">
        <f t="shared" si="226"/>
        <v>408746.18000000005</v>
      </c>
      <c r="M449" s="69">
        <f t="shared" si="226"/>
        <v>0</v>
      </c>
      <c r="N449" s="216">
        <f t="shared" si="226"/>
        <v>116979580.75</v>
      </c>
      <c r="O449" s="216">
        <f t="shared" si="226"/>
        <v>9038312.8200000003</v>
      </c>
      <c r="P449" s="216">
        <f t="shared" si="226"/>
        <v>2881492.78</v>
      </c>
      <c r="Q449" s="68">
        <f t="shared" si="226"/>
        <v>82927266.269999996</v>
      </c>
      <c r="R449" s="216">
        <f t="shared" si="226"/>
        <v>0</v>
      </c>
      <c r="S449" s="216">
        <f t="shared" si="226"/>
        <v>0</v>
      </c>
      <c r="T449" s="216">
        <f t="shared" si="226"/>
        <v>2881492.78</v>
      </c>
      <c r="U449" s="68">
        <f t="shared" si="226"/>
        <v>1896128.63</v>
      </c>
      <c r="V449" s="216">
        <f t="shared" si="226"/>
        <v>0</v>
      </c>
      <c r="W449" s="215">
        <f t="shared" si="226"/>
        <v>0</v>
      </c>
      <c r="X449" s="215">
        <f t="shared" si="226"/>
        <v>0</v>
      </c>
      <c r="Y449" s="216">
        <f t="shared" si="226"/>
        <v>1896128.63</v>
      </c>
      <c r="Z449" s="217">
        <f t="shared" si="226"/>
        <v>0</v>
      </c>
      <c r="AA449" s="216">
        <f t="shared" si="226"/>
        <v>0</v>
      </c>
      <c r="AB449" s="216">
        <f t="shared" si="226"/>
        <v>0</v>
      </c>
    </row>
    <row r="450" spans="1:28" s="100" customFormat="1" ht="24" customHeight="1" x14ac:dyDescent="0.2">
      <c r="A450" s="258" t="s">
        <v>162</v>
      </c>
      <c r="B450" s="411">
        <v>331</v>
      </c>
      <c r="C450" s="58" t="s">
        <v>75</v>
      </c>
      <c r="D450" s="59" t="s">
        <v>69</v>
      </c>
      <c r="E450" s="81" t="s">
        <v>69</v>
      </c>
      <c r="F450" s="81" t="s">
        <v>137</v>
      </c>
      <c r="G450" s="66" t="s">
        <v>135</v>
      </c>
      <c r="H450" s="66" t="s">
        <v>135</v>
      </c>
      <c r="I450" s="71" t="s">
        <v>405</v>
      </c>
      <c r="J450" s="67" t="s">
        <v>135</v>
      </c>
      <c r="K450" s="372" t="s">
        <v>161</v>
      </c>
      <c r="L450" s="68">
        <f>798046.18-390000+700</f>
        <v>408746.18000000005</v>
      </c>
      <c r="M450" s="69">
        <v>0</v>
      </c>
      <c r="N450" s="216">
        <v>116979580.75</v>
      </c>
      <c r="O450" s="216">
        <v>9038312.8200000003</v>
      </c>
      <c r="P450" s="216">
        <v>2881492.78</v>
      </c>
      <c r="Q450" s="68">
        <f>76979580.75+5947685.52</f>
        <v>82927266.269999996</v>
      </c>
      <c r="R450" s="216">
        <v>0</v>
      </c>
      <c r="S450" s="216">
        <v>0</v>
      </c>
      <c r="T450" s="216">
        <f>P450</f>
        <v>2881492.78</v>
      </c>
      <c r="U450" s="68">
        <v>1896128.63</v>
      </c>
      <c r="V450" s="216">
        <v>0</v>
      </c>
      <c r="W450" s="215">
        <v>0</v>
      </c>
      <c r="X450" s="215">
        <v>0</v>
      </c>
      <c r="Y450" s="216">
        <f>X450+U450</f>
        <v>1896128.63</v>
      </c>
      <c r="Z450" s="217">
        <v>0</v>
      </c>
      <c r="AA450" s="216">
        <v>0</v>
      </c>
      <c r="AB450" s="216">
        <v>0</v>
      </c>
    </row>
    <row r="451" spans="1:28" s="100" customFormat="1" ht="70.5" customHeight="1" x14ac:dyDescent="0.2">
      <c r="A451" s="207" t="s">
        <v>300</v>
      </c>
      <c r="B451" s="411">
        <v>331</v>
      </c>
      <c r="C451" s="58" t="s">
        <v>75</v>
      </c>
      <c r="D451" s="59" t="s">
        <v>69</v>
      </c>
      <c r="E451" s="81" t="s">
        <v>69</v>
      </c>
      <c r="F451" s="81" t="s">
        <v>137</v>
      </c>
      <c r="G451" s="66" t="s">
        <v>135</v>
      </c>
      <c r="H451" s="66" t="s">
        <v>135</v>
      </c>
      <c r="I451" s="71" t="s">
        <v>266</v>
      </c>
      <c r="J451" s="67" t="s">
        <v>135</v>
      </c>
      <c r="K451" s="372"/>
      <c r="L451" s="68">
        <f t="shared" ref="L451:AB452" si="227">L452</f>
        <v>408746.18000000005</v>
      </c>
      <c r="M451" s="69">
        <f t="shared" si="227"/>
        <v>0</v>
      </c>
      <c r="N451" s="216">
        <f t="shared" si="227"/>
        <v>116979580.75</v>
      </c>
      <c r="O451" s="216">
        <f t="shared" si="227"/>
        <v>9038312.8200000003</v>
      </c>
      <c r="P451" s="216">
        <f t="shared" si="227"/>
        <v>123136400.79000001</v>
      </c>
      <c r="Q451" s="68">
        <f t="shared" si="227"/>
        <v>82927266.269999996</v>
      </c>
      <c r="R451" s="216">
        <f t="shared" si="227"/>
        <v>0</v>
      </c>
      <c r="S451" s="216">
        <f t="shared" si="227"/>
        <v>0</v>
      </c>
      <c r="T451" s="216">
        <f t="shared" si="227"/>
        <v>123136400.79000001</v>
      </c>
      <c r="U451" s="68">
        <f t="shared" si="227"/>
        <v>81031137.640000001</v>
      </c>
      <c r="V451" s="216">
        <f t="shared" si="227"/>
        <v>0</v>
      </c>
      <c r="W451" s="215">
        <f t="shared" si="227"/>
        <v>0</v>
      </c>
      <c r="X451" s="215">
        <f t="shared" si="227"/>
        <v>0</v>
      </c>
      <c r="Y451" s="216">
        <f t="shared" si="227"/>
        <v>81031137.640000001</v>
      </c>
      <c r="Z451" s="217">
        <f t="shared" si="227"/>
        <v>0</v>
      </c>
      <c r="AA451" s="216">
        <f t="shared" si="227"/>
        <v>0</v>
      </c>
      <c r="AB451" s="216">
        <f t="shared" si="227"/>
        <v>0</v>
      </c>
    </row>
    <row r="452" spans="1:28" s="100" customFormat="1" ht="40.5" customHeight="1" x14ac:dyDescent="0.2">
      <c r="A452" s="207" t="s">
        <v>187</v>
      </c>
      <c r="B452" s="411">
        <v>331</v>
      </c>
      <c r="C452" s="58" t="s">
        <v>75</v>
      </c>
      <c r="D452" s="59" t="s">
        <v>69</v>
      </c>
      <c r="E452" s="81" t="s">
        <v>69</v>
      </c>
      <c r="F452" s="81" t="s">
        <v>137</v>
      </c>
      <c r="G452" s="66" t="s">
        <v>135</v>
      </c>
      <c r="H452" s="66" t="s">
        <v>135</v>
      </c>
      <c r="I452" s="71" t="s">
        <v>266</v>
      </c>
      <c r="J452" s="67" t="s">
        <v>135</v>
      </c>
      <c r="K452" s="372" t="s">
        <v>160</v>
      </c>
      <c r="L452" s="68">
        <f t="shared" si="227"/>
        <v>408746.18000000005</v>
      </c>
      <c r="M452" s="69">
        <f t="shared" si="227"/>
        <v>0</v>
      </c>
      <c r="N452" s="216">
        <f t="shared" si="227"/>
        <v>116979580.75</v>
      </c>
      <c r="O452" s="216">
        <f t="shared" si="227"/>
        <v>9038312.8200000003</v>
      </c>
      <c r="P452" s="216">
        <f t="shared" si="227"/>
        <v>123136400.79000001</v>
      </c>
      <c r="Q452" s="68">
        <f t="shared" si="227"/>
        <v>82927266.269999996</v>
      </c>
      <c r="R452" s="216">
        <f t="shared" si="227"/>
        <v>0</v>
      </c>
      <c r="S452" s="216">
        <f t="shared" si="227"/>
        <v>0</v>
      </c>
      <c r="T452" s="216">
        <f t="shared" si="227"/>
        <v>123136400.79000001</v>
      </c>
      <c r="U452" s="68">
        <f t="shared" si="227"/>
        <v>81031137.640000001</v>
      </c>
      <c r="V452" s="216">
        <f t="shared" si="227"/>
        <v>0</v>
      </c>
      <c r="W452" s="215">
        <f t="shared" si="227"/>
        <v>0</v>
      </c>
      <c r="X452" s="215">
        <f t="shared" si="227"/>
        <v>0</v>
      </c>
      <c r="Y452" s="216">
        <f t="shared" si="227"/>
        <v>81031137.640000001</v>
      </c>
      <c r="Z452" s="217">
        <f t="shared" si="227"/>
        <v>0</v>
      </c>
      <c r="AA452" s="216">
        <f t="shared" si="227"/>
        <v>0</v>
      </c>
      <c r="AB452" s="216">
        <f t="shared" si="227"/>
        <v>0</v>
      </c>
    </row>
    <row r="453" spans="1:28" s="100" customFormat="1" ht="18.75" customHeight="1" x14ac:dyDescent="0.2">
      <c r="A453" s="258" t="s">
        <v>162</v>
      </c>
      <c r="B453" s="411">
        <v>331</v>
      </c>
      <c r="C453" s="58" t="s">
        <v>75</v>
      </c>
      <c r="D453" s="59" t="s">
        <v>69</v>
      </c>
      <c r="E453" s="81" t="s">
        <v>69</v>
      </c>
      <c r="F453" s="81" t="s">
        <v>137</v>
      </c>
      <c r="G453" s="66" t="s">
        <v>135</v>
      </c>
      <c r="H453" s="66" t="s">
        <v>135</v>
      </c>
      <c r="I453" s="71" t="s">
        <v>266</v>
      </c>
      <c r="J453" s="67" t="s">
        <v>135</v>
      </c>
      <c r="K453" s="372" t="s">
        <v>161</v>
      </c>
      <c r="L453" s="68">
        <f>798046.18-390000+700</f>
        <v>408746.18000000005</v>
      </c>
      <c r="M453" s="69">
        <v>0</v>
      </c>
      <c r="N453" s="216">
        <v>116979580.75</v>
      </c>
      <c r="O453" s="216">
        <v>9038312.8200000003</v>
      </c>
      <c r="P453" s="216">
        <v>123136400.79000001</v>
      </c>
      <c r="Q453" s="68">
        <f>76979580.75+5947685.52</f>
        <v>82927266.269999996</v>
      </c>
      <c r="R453" s="216">
        <v>0</v>
      </c>
      <c r="S453" s="216">
        <v>0</v>
      </c>
      <c r="T453" s="216">
        <f>S453+P453</f>
        <v>123136400.79000001</v>
      </c>
      <c r="U453" s="68">
        <v>81031137.640000001</v>
      </c>
      <c r="V453" s="216">
        <v>0</v>
      </c>
      <c r="W453" s="215">
        <v>0</v>
      </c>
      <c r="X453" s="215">
        <v>0</v>
      </c>
      <c r="Y453" s="216">
        <f>X453+U453</f>
        <v>81031137.640000001</v>
      </c>
      <c r="Z453" s="217">
        <v>0</v>
      </c>
      <c r="AA453" s="216">
        <v>0</v>
      </c>
      <c r="AB453" s="216">
        <v>0</v>
      </c>
    </row>
    <row r="454" spans="1:28" s="100" customFormat="1" ht="50.25" customHeight="1" x14ac:dyDescent="0.2">
      <c r="A454" s="277" t="s">
        <v>347</v>
      </c>
      <c r="B454" s="411">
        <v>331</v>
      </c>
      <c r="C454" s="58" t="s">
        <v>75</v>
      </c>
      <c r="D454" s="59" t="s">
        <v>69</v>
      </c>
      <c r="E454" s="81" t="s">
        <v>69</v>
      </c>
      <c r="F454" s="81" t="s">
        <v>137</v>
      </c>
      <c r="G454" s="66" t="s">
        <v>135</v>
      </c>
      <c r="H454" s="66" t="s">
        <v>135</v>
      </c>
      <c r="I454" s="66" t="s">
        <v>389</v>
      </c>
      <c r="J454" s="67" t="s">
        <v>135</v>
      </c>
      <c r="K454" s="214"/>
      <c r="L454" s="101"/>
      <c r="M454" s="102"/>
      <c r="N454" s="248">
        <f t="shared" ref="N454:AB455" si="228">N455</f>
        <v>0</v>
      </c>
      <c r="O454" s="248">
        <f t="shared" si="228"/>
        <v>0</v>
      </c>
      <c r="P454" s="248">
        <f t="shared" si="228"/>
        <v>0</v>
      </c>
      <c r="Q454" s="473">
        <f t="shared" si="228"/>
        <v>2100000</v>
      </c>
      <c r="R454" s="248">
        <f t="shared" si="228"/>
        <v>0</v>
      </c>
      <c r="S454" s="248">
        <f t="shared" si="228"/>
        <v>8245667.3799999999</v>
      </c>
      <c r="T454" s="248">
        <f t="shared" si="228"/>
        <v>8245667.3799999999</v>
      </c>
      <c r="U454" s="249">
        <f t="shared" si="228"/>
        <v>0</v>
      </c>
      <c r="V454" s="445">
        <f t="shared" si="228"/>
        <v>0</v>
      </c>
      <c r="W454" s="101">
        <f t="shared" si="228"/>
        <v>0</v>
      </c>
      <c r="X454" s="473">
        <f t="shared" si="228"/>
        <v>0</v>
      </c>
      <c r="Y454" s="248">
        <f t="shared" si="228"/>
        <v>0</v>
      </c>
      <c r="Z454" s="249">
        <f t="shared" si="228"/>
        <v>0</v>
      </c>
      <c r="AA454" s="249">
        <f t="shared" si="228"/>
        <v>0</v>
      </c>
      <c r="AB454" s="249">
        <f t="shared" si="228"/>
        <v>0</v>
      </c>
    </row>
    <row r="455" spans="1:28" s="100" customFormat="1" ht="28.5" customHeight="1" x14ac:dyDescent="0.2">
      <c r="A455" s="207" t="s">
        <v>187</v>
      </c>
      <c r="B455" s="411">
        <v>331</v>
      </c>
      <c r="C455" s="58" t="s">
        <v>75</v>
      </c>
      <c r="D455" s="59" t="s">
        <v>69</v>
      </c>
      <c r="E455" s="81" t="s">
        <v>69</v>
      </c>
      <c r="F455" s="81" t="s">
        <v>137</v>
      </c>
      <c r="G455" s="66" t="s">
        <v>135</v>
      </c>
      <c r="H455" s="66" t="s">
        <v>135</v>
      </c>
      <c r="I455" s="66" t="s">
        <v>389</v>
      </c>
      <c r="J455" s="67" t="s">
        <v>135</v>
      </c>
      <c r="K455" s="214" t="s">
        <v>160</v>
      </c>
      <c r="L455" s="101"/>
      <c r="M455" s="102"/>
      <c r="N455" s="248">
        <f t="shared" si="228"/>
        <v>0</v>
      </c>
      <c r="O455" s="248">
        <f t="shared" si="228"/>
        <v>0</v>
      </c>
      <c r="P455" s="248">
        <f t="shared" si="228"/>
        <v>0</v>
      </c>
      <c r="Q455" s="473">
        <f t="shared" si="228"/>
        <v>2100000</v>
      </c>
      <c r="R455" s="248">
        <f t="shared" si="228"/>
        <v>0</v>
      </c>
      <c r="S455" s="248">
        <f t="shared" si="228"/>
        <v>8245667.3799999999</v>
      </c>
      <c r="T455" s="248">
        <f t="shared" si="228"/>
        <v>8245667.3799999999</v>
      </c>
      <c r="U455" s="249">
        <f t="shared" si="228"/>
        <v>0</v>
      </c>
      <c r="V455" s="445">
        <f t="shared" si="228"/>
        <v>0</v>
      </c>
      <c r="W455" s="101">
        <f t="shared" si="228"/>
        <v>0</v>
      </c>
      <c r="X455" s="473">
        <f t="shared" si="228"/>
        <v>0</v>
      </c>
      <c r="Y455" s="248">
        <f t="shared" si="228"/>
        <v>0</v>
      </c>
      <c r="Z455" s="249">
        <f t="shared" si="228"/>
        <v>0</v>
      </c>
      <c r="AA455" s="249">
        <f t="shared" si="228"/>
        <v>0</v>
      </c>
      <c r="AB455" s="249">
        <f t="shared" si="228"/>
        <v>0</v>
      </c>
    </row>
    <row r="456" spans="1:28" s="100" customFormat="1" ht="29.25" customHeight="1" x14ac:dyDescent="0.2">
      <c r="A456" s="258" t="s">
        <v>162</v>
      </c>
      <c r="B456" s="411">
        <v>331</v>
      </c>
      <c r="C456" s="58" t="s">
        <v>75</v>
      </c>
      <c r="D456" s="59" t="s">
        <v>69</v>
      </c>
      <c r="E456" s="81" t="s">
        <v>69</v>
      </c>
      <c r="F456" s="81" t="s">
        <v>137</v>
      </c>
      <c r="G456" s="66" t="s">
        <v>135</v>
      </c>
      <c r="H456" s="66" t="s">
        <v>135</v>
      </c>
      <c r="I456" s="66" t="s">
        <v>389</v>
      </c>
      <c r="J456" s="67" t="s">
        <v>135</v>
      </c>
      <c r="K456" s="214" t="s">
        <v>161</v>
      </c>
      <c r="L456" s="101"/>
      <c r="M456" s="102"/>
      <c r="N456" s="248">
        <v>0</v>
      </c>
      <c r="O456" s="248">
        <v>0</v>
      </c>
      <c r="P456" s="248">
        <v>0</v>
      </c>
      <c r="Q456" s="473">
        <v>2100000</v>
      </c>
      <c r="R456" s="248">
        <v>0</v>
      </c>
      <c r="S456" s="248">
        <f>8245670-2.62</f>
        <v>8245667.3799999999</v>
      </c>
      <c r="T456" s="248">
        <f>S456+P456</f>
        <v>8245667.3799999999</v>
      </c>
      <c r="U456" s="249">
        <v>0</v>
      </c>
      <c r="V456" s="445">
        <v>0</v>
      </c>
      <c r="W456" s="101">
        <v>0</v>
      </c>
      <c r="X456" s="473">
        <v>0</v>
      </c>
      <c r="Y456" s="248">
        <v>0</v>
      </c>
      <c r="Z456" s="249">
        <v>0</v>
      </c>
      <c r="AA456" s="249">
        <v>0</v>
      </c>
      <c r="AB456" s="249">
        <v>0</v>
      </c>
    </row>
    <row r="457" spans="1:28" x14ac:dyDescent="0.2">
      <c r="A457" s="207" t="s">
        <v>79</v>
      </c>
      <c r="B457" s="58" t="s">
        <v>109</v>
      </c>
      <c r="C457" s="58" t="s">
        <v>88</v>
      </c>
      <c r="D457" s="59"/>
      <c r="E457" s="60"/>
      <c r="F457" s="60"/>
      <c r="G457" s="66"/>
      <c r="H457" s="66"/>
      <c r="I457" s="60"/>
      <c r="J457" s="76"/>
      <c r="K457" s="408"/>
      <c r="L457" s="101">
        <f t="shared" ref="L457:Z457" si="229">L458+L463+L473+L468</f>
        <v>11064968.949999999</v>
      </c>
      <c r="M457" s="102">
        <f t="shared" si="229"/>
        <v>0</v>
      </c>
      <c r="N457" s="248">
        <f t="shared" si="229"/>
        <v>11262318.189999999</v>
      </c>
      <c r="O457" s="248">
        <f t="shared" si="229"/>
        <v>0</v>
      </c>
      <c r="P457" s="248">
        <f t="shared" si="229"/>
        <v>16141371.329999998</v>
      </c>
      <c r="Q457" s="101">
        <f t="shared" si="229"/>
        <v>13683200.84</v>
      </c>
      <c r="R457" s="248">
        <f t="shared" si="229"/>
        <v>0</v>
      </c>
      <c r="S457" s="248">
        <f>S458+S463+S473+S468</f>
        <v>1112612.71</v>
      </c>
      <c r="T457" s="248">
        <f>T458+T463+T473+T468</f>
        <v>17253984.039999999</v>
      </c>
      <c r="U457" s="101">
        <f t="shared" si="229"/>
        <v>13683200.84</v>
      </c>
      <c r="V457" s="248">
        <f t="shared" si="229"/>
        <v>13883113.18</v>
      </c>
      <c r="W457" s="473">
        <f t="shared" si="229"/>
        <v>0</v>
      </c>
      <c r="X457" s="473">
        <f>X458+X463+X473+X468</f>
        <v>0</v>
      </c>
      <c r="Y457" s="248">
        <f>Y458+Y463+Y473+Y468</f>
        <v>13683200.84</v>
      </c>
      <c r="Z457" s="249">
        <f t="shared" si="229"/>
        <v>13883113.18</v>
      </c>
      <c r="AA457" s="248">
        <f>AA458+AA463+AA473+AA468</f>
        <v>0</v>
      </c>
      <c r="AB457" s="248">
        <f>AB458+AB463+AB473+AB468</f>
        <v>13883113.18</v>
      </c>
    </row>
    <row r="458" spans="1:28" x14ac:dyDescent="0.2">
      <c r="A458" s="207" t="s">
        <v>99</v>
      </c>
      <c r="B458" s="58" t="s">
        <v>109</v>
      </c>
      <c r="C458" s="58" t="s">
        <v>88</v>
      </c>
      <c r="D458" s="59" t="s">
        <v>69</v>
      </c>
      <c r="E458" s="60"/>
      <c r="F458" s="60"/>
      <c r="G458" s="66"/>
      <c r="H458" s="66"/>
      <c r="I458" s="60"/>
      <c r="J458" s="76"/>
      <c r="K458" s="408"/>
      <c r="L458" s="101">
        <f t="shared" ref="L458:P461" si="230">L459</f>
        <v>4654000</v>
      </c>
      <c r="M458" s="102">
        <f t="shared" si="230"/>
        <v>0</v>
      </c>
      <c r="N458" s="248">
        <f t="shared" si="230"/>
        <v>5521011.9699999997</v>
      </c>
      <c r="O458" s="248">
        <f t="shared" si="230"/>
        <v>0</v>
      </c>
      <c r="P458" s="248">
        <f t="shared" si="230"/>
        <v>6456464.6399999997</v>
      </c>
      <c r="Q458" s="101">
        <f t="shared" ref="Q458:AB461" si="231">Q459</f>
        <v>5521011.9699999997</v>
      </c>
      <c r="R458" s="248">
        <f t="shared" si="231"/>
        <v>0</v>
      </c>
      <c r="S458" s="248">
        <f t="shared" si="231"/>
        <v>0</v>
      </c>
      <c r="T458" s="248">
        <f t="shared" si="231"/>
        <v>6456464.6399999997</v>
      </c>
      <c r="U458" s="101">
        <f t="shared" si="231"/>
        <v>5521011.9699999997</v>
      </c>
      <c r="V458" s="248">
        <f t="shared" si="231"/>
        <v>5521011.9699999997</v>
      </c>
      <c r="W458" s="473">
        <f t="shared" si="231"/>
        <v>0</v>
      </c>
      <c r="X458" s="473">
        <f t="shared" si="231"/>
        <v>0</v>
      </c>
      <c r="Y458" s="248">
        <f t="shared" si="231"/>
        <v>5521011.9699999997</v>
      </c>
      <c r="Z458" s="249">
        <f t="shared" si="231"/>
        <v>5521011.9699999997</v>
      </c>
      <c r="AA458" s="248">
        <f t="shared" si="231"/>
        <v>0</v>
      </c>
      <c r="AB458" s="248">
        <f t="shared" si="231"/>
        <v>5521011.9699999997</v>
      </c>
    </row>
    <row r="459" spans="1:28" x14ac:dyDescent="0.2">
      <c r="A459" s="212" t="s">
        <v>19</v>
      </c>
      <c r="B459" s="58" t="s">
        <v>109</v>
      </c>
      <c r="C459" s="58" t="s">
        <v>88</v>
      </c>
      <c r="D459" s="59" t="s">
        <v>69</v>
      </c>
      <c r="E459" s="66" t="s">
        <v>9</v>
      </c>
      <c r="F459" s="66" t="s">
        <v>135</v>
      </c>
      <c r="G459" s="66" t="s">
        <v>135</v>
      </c>
      <c r="H459" s="66" t="s">
        <v>135</v>
      </c>
      <c r="I459" s="66" t="s">
        <v>136</v>
      </c>
      <c r="J459" s="67" t="s">
        <v>135</v>
      </c>
      <c r="K459" s="309"/>
      <c r="L459" s="68">
        <f t="shared" si="230"/>
        <v>4654000</v>
      </c>
      <c r="M459" s="69">
        <f t="shared" si="230"/>
        <v>0</v>
      </c>
      <c r="N459" s="216">
        <f t="shared" si="230"/>
        <v>5521011.9699999997</v>
      </c>
      <c r="O459" s="216">
        <f t="shared" si="230"/>
        <v>0</v>
      </c>
      <c r="P459" s="216">
        <f t="shared" si="230"/>
        <v>6456464.6399999997</v>
      </c>
      <c r="Q459" s="68">
        <f t="shared" si="231"/>
        <v>5521011.9699999997</v>
      </c>
      <c r="R459" s="216">
        <f t="shared" si="231"/>
        <v>0</v>
      </c>
      <c r="S459" s="216">
        <f t="shared" si="231"/>
        <v>0</v>
      </c>
      <c r="T459" s="216">
        <f t="shared" si="231"/>
        <v>6456464.6399999997</v>
      </c>
      <c r="U459" s="68">
        <f t="shared" si="231"/>
        <v>5521011.9699999997</v>
      </c>
      <c r="V459" s="216">
        <f t="shared" si="231"/>
        <v>5521011.9699999997</v>
      </c>
      <c r="W459" s="215">
        <f t="shared" si="231"/>
        <v>0</v>
      </c>
      <c r="X459" s="215">
        <f t="shared" si="231"/>
        <v>0</v>
      </c>
      <c r="Y459" s="216">
        <f t="shared" si="231"/>
        <v>5521011.9699999997</v>
      </c>
      <c r="Z459" s="217">
        <f t="shared" si="231"/>
        <v>5521011.9699999997</v>
      </c>
      <c r="AA459" s="216">
        <f t="shared" si="231"/>
        <v>0</v>
      </c>
      <c r="AB459" s="216">
        <f t="shared" si="231"/>
        <v>5521011.9699999997</v>
      </c>
    </row>
    <row r="460" spans="1:28" x14ac:dyDescent="0.2">
      <c r="A460" s="212" t="s">
        <v>263</v>
      </c>
      <c r="B460" s="58" t="s">
        <v>109</v>
      </c>
      <c r="C460" s="58" t="s">
        <v>88</v>
      </c>
      <c r="D460" s="59" t="s">
        <v>69</v>
      </c>
      <c r="E460" s="79" t="s">
        <v>9</v>
      </c>
      <c r="F460" s="66" t="s">
        <v>135</v>
      </c>
      <c r="G460" s="66" t="s">
        <v>135</v>
      </c>
      <c r="H460" s="66" t="s">
        <v>135</v>
      </c>
      <c r="I460" s="66" t="s">
        <v>20</v>
      </c>
      <c r="J460" s="67" t="s">
        <v>135</v>
      </c>
      <c r="K460" s="309"/>
      <c r="L460" s="68">
        <f t="shared" si="230"/>
        <v>4654000</v>
      </c>
      <c r="M460" s="69">
        <f t="shared" si="230"/>
        <v>0</v>
      </c>
      <c r="N460" s="216">
        <f t="shared" si="230"/>
        <v>5521011.9699999997</v>
      </c>
      <c r="O460" s="216">
        <f t="shared" si="230"/>
        <v>0</v>
      </c>
      <c r="P460" s="216">
        <f t="shared" si="230"/>
        <v>6456464.6399999997</v>
      </c>
      <c r="Q460" s="68">
        <f t="shared" si="231"/>
        <v>5521011.9699999997</v>
      </c>
      <c r="R460" s="216">
        <f t="shared" si="231"/>
        <v>0</v>
      </c>
      <c r="S460" s="216">
        <f t="shared" si="231"/>
        <v>0</v>
      </c>
      <c r="T460" s="216">
        <f t="shared" si="231"/>
        <v>6456464.6399999997</v>
      </c>
      <c r="U460" s="68">
        <f t="shared" si="231"/>
        <v>5521011.9699999997</v>
      </c>
      <c r="V460" s="216">
        <f t="shared" si="231"/>
        <v>5521011.9699999997</v>
      </c>
      <c r="W460" s="215">
        <f t="shared" si="231"/>
        <v>0</v>
      </c>
      <c r="X460" s="215">
        <f t="shared" si="231"/>
        <v>0</v>
      </c>
      <c r="Y460" s="216">
        <f t="shared" si="231"/>
        <v>5521011.9699999997</v>
      </c>
      <c r="Z460" s="217">
        <f t="shared" si="231"/>
        <v>5521011.9699999997</v>
      </c>
      <c r="AA460" s="216">
        <f t="shared" si="231"/>
        <v>0</v>
      </c>
      <c r="AB460" s="216">
        <f t="shared" si="231"/>
        <v>5521011.9699999997</v>
      </c>
    </row>
    <row r="461" spans="1:28" x14ac:dyDescent="0.2">
      <c r="A461" s="212" t="s">
        <v>56</v>
      </c>
      <c r="B461" s="58" t="s">
        <v>109</v>
      </c>
      <c r="C461" s="58" t="s">
        <v>88</v>
      </c>
      <c r="D461" s="59" t="s">
        <v>69</v>
      </c>
      <c r="E461" s="66" t="s">
        <v>9</v>
      </c>
      <c r="F461" s="66" t="s">
        <v>135</v>
      </c>
      <c r="G461" s="66" t="s">
        <v>135</v>
      </c>
      <c r="H461" s="66" t="s">
        <v>135</v>
      </c>
      <c r="I461" s="66" t="s">
        <v>20</v>
      </c>
      <c r="J461" s="67" t="s">
        <v>135</v>
      </c>
      <c r="K461" s="309" t="s">
        <v>57</v>
      </c>
      <c r="L461" s="68">
        <f t="shared" si="230"/>
        <v>4654000</v>
      </c>
      <c r="M461" s="69">
        <f t="shared" si="230"/>
        <v>0</v>
      </c>
      <c r="N461" s="216">
        <f t="shared" si="230"/>
        <v>5521011.9699999997</v>
      </c>
      <c r="O461" s="216">
        <f t="shared" si="230"/>
        <v>0</v>
      </c>
      <c r="P461" s="216">
        <f t="shared" si="230"/>
        <v>6456464.6399999997</v>
      </c>
      <c r="Q461" s="68">
        <f t="shared" si="231"/>
        <v>5521011.9699999997</v>
      </c>
      <c r="R461" s="216">
        <f t="shared" si="231"/>
        <v>0</v>
      </c>
      <c r="S461" s="216">
        <f t="shared" si="231"/>
        <v>0</v>
      </c>
      <c r="T461" s="216">
        <f t="shared" si="231"/>
        <v>6456464.6399999997</v>
      </c>
      <c r="U461" s="68">
        <f t="shared" si="231"/>
        <v>5521011.9699999997</v>
      </c>
      <c r="V461" s="216">
        <f t="shared" si="231"/>
        <v>5521011.9699999997</v>
      </c>
      <c r="W461" s="215">
        <f t="shared" si="231"/>
        <v>0</v>
      </c>
      <c r="X461" s="215">
        <f t="shared" si="231"/>
        <v>0</v>
      </c>
      <c r="Y461" s="216">
        <f t="shared" si="231"/>
        <v>5521011.9699999997</v>
      </c>
      <c r="Z461" s="217">
        <f t="shared" si="231"/>
        <v>5521011.9699999997</v>
      </c>
      <c r="AA461" s="216">
        <f t="shared" si="231"/>
        <v>0</v>
      </c>
      <c r="AB461" s="216">
        <f t="shared" si="231"/>
        <v>5521011.9699999997</v>
      </c>
    </row>
    <row r="462" spans="1:28" s="125" customFormat="1" x14ac:dyDescent="0.2">
      <c r="A462" s="212" t="s">
        <v>245</v>
      </c>
      <c r="B462" s="58" t="s">
        <v>109</v>
      </c>
      <c r="C462" s="58" t="s">
        <v>88</v>
      </c>
      <c r="D462" s="59" t="s">
        <v>69</v>
      </c>
      <c r="E462" s="79" t="s">
        <v>9</v>
      </c>
      <c r="F462" s="66" t="s">
        <v>135</v>
      </c>
      <c r="G462" s="66" t="s">
        <v>135</v>
      </c>
      <c r="H462" s="66" t="s">
        <v>135</v>
      </c>
      <c r="I462" s="66" t="s">
        <v>20</v>
      </c>
      <c r="J462" s="67" t="s">
        <v>135</v>
      </c>
      <c r="K462" s="309" t="s">
        <v>244</v>
      </c>
      <c r="L462" s="68">
        <v>4654000</v>
      </c>
      <c r="M462" s="69">
        <v>0</v>
      </c>
      <c r="N462" s="216">
        <v>5521011.9699999997</v>
      </c>
      <c r="O462" s="216">
        <v>0</v>
      </c>
      <c r="P462" s="216">
        <v>6456464.6399999997</v>
      </c>
      <c r="Q462" s="68">
        <v>5521011.9699999997</v>
      </c>
      <c r="R462" s="216">
        <v>0</v>
      </c>
      <c r="S462" s="216">
        <v>0</v>
      </c>
      <c r="T462" s="216">
        <f>S462+P462</f>
        <v>6456464.6399999997</v>
      </c>
      <c r="U462" s="68">
        <v>5521011.9699999997</v>
      </c>
      <c r="V462" s="216">
        <v>5521011.9699999997</v>
      </c>
      <c r="W462" s="215">
        <v>0</v>
      </c>
      <c r="X462" s="215">
        <v>0</v>
      </c>
      <c r="Y462" s="216">
        <v>5521011.9699999997</v>
      </c>
      <c r="Z462" s="217">
        <v>5521011.9699999997</v>
      </c>
      <c r="AA462" s="216">
        <v>0</v>
      </c>
      <c r="AB462" s="216">
        <v>5521011.9699999997</v>
      </c>
    </row>
    <row r="463" spans="1:28" x14ac:dyDescent="0.2">
      <c r="A463" s="207" t="s">
        <v>97</v>
      </c>
      <c r="B463" s="58" t="s">
        <v>109</v>
      </c>
      <c r="C463" s="58" t="s">
        <v>88</v>
      </c>
      <c r="D463" s="59" t="s">
        <v>72</v>
      </c>
      <c r="E463" s="79"/>
      <c r="F463" s="79"/>
      <c r="G463" s="66"/>
      <c r="H463" s="66"/>
      <c r="I463" s="79"/>
      <c r="J463" s="80"/>
      <c r="K463" s="291"/>
      <c r="L463" s="101">
        <f t="shared" ref="L463:AB463" si="232">L464</f>
        <v>540000</v>
      </c>
      <c r="M463" s="102">
        <f t="shared" si="232"/>
        <v>0</v>
      </c>
      <c r="N463" s="248">
        <f t="shared" si="232"/>
        <v>0</v>
      </c>
      <c r="O463" s="248">
        <f t="shared" si="232"/>
        <v>0</v>
      </c>
      <c r="P463" s="248">
        <f t="shared" si="232"/>
        <v>3349713.18</v>
      </c>
      <c r="Q463" s="101">
        <f t="shared" si="232"/>
        <v>720000</v>
      </c>
      <c r="R463" s="248">
        <f t="shared" si="232"/>
        <v>0</v>
      </c>
      <c r="S463" s="248">
        <f t="shared" si="232"/>
        <v>100000</v>
      </c>
      <c r="T463" s="248">
        <f t="shared" si="232"/>
        <v>3449713.18</v>
      </c>
      <c r="U463" s="101">
        <f t="shared" si="232"/>
        <v>720000</v>
      </c>
      <c r="V463" s="248">
        <f t="shared" si="232"/>
        <v>720000</v>
      </c>
      <c r="W463" s="473">
        <f t="shared" si="232"/>
        <v>0</v>
      </c>
      <c r="X463" s="473">
        <f t="shared" si="232"/>
        <v>0</v>
      </c>
      <c r="Y463" s="248">
        <f t="shared" si="232"/>
        <v>720000</v>
      </c>
      <c r="Z463" s="249">
        <f t="shared" si="232"/>
        <v>720000</v>
      </c>
      <c r="AA463" s="248">
        <f t="shared" si="232"/>
        <v>0</v>
      </c>
      <c r="AB463" s="248">
        <f t="shared" si="232"/>
        <v>720000</v>
      </c>
    </row>
    <row r="464" spans="1:28" ht="38.25" x14ac:dyDescent="0.2">
      <c r="A464" s="212" t="s">
        <v>326</v>
      </c>
      <c r="B464" s="58" t="s">
        <v>109</v>
      </c>
      <c r="C464" s="58" t="s">
        <v>88</v>
      </c>
      <c r="D464" s="59" t="s">
        <v>72</v>
      </c>
      <c r="E464" s="66" t="s">
        <v>86</v>
      </c>
      <c r="F464" s="66" t="s">
        <v>135</v>
      </c>
      <c r="G464" s="66" t="s">
        <v>135</v>
      </c>
      <c r="H464" s="66" t="s">
        <v>135</v>
      </c>
      <c r="I464" s="66" t="s">
        <v>136</v>
      </c>
      <c r="J464" s="67" t="s">
        <v>135</v>
      </c>
      <c r="K464" s="309"/>
      <c r="L464" s="68">
        <f t="shared" ref="L464:P466" si="233">L465</f>
        <v>540000</v>
      </c>
      <c r="M464" s="69">
        <f t="shared" si="233"/>
        <v>0</v>
      </c>
      <c r="N464" s="216">
        <f t="shared" si="233"/>
        <v>0</v>
      </c>
      <c r="O464" s="216">
        <f t="shared" si="233"/>
        <v>0</v>
      </c>
      <c r="P464" s="216">
        <f t="shared" si="233"/>
        <v>3349713.18</v>
      </c>
      <c r="Q464" s="68">
        <f t="shared" ref="Q464:AB466" si="234">Q465</f>
        <v>720000</v>
      </c>
      <c r="R464" s="216">
        <f t="shared" si="234"/>
        <v>0</v>
      </c>
      <c r="S464" s="216">
        <f t="shared" ref="S464:T466" si="235">S465</f>
        <v>100000</v>
      </c>
      <c r="T464" s="216">
        <f t="shared" si="235"/>
        <v>3449713.18</v>
      </c>
      <c r="U464" s="68">
        <f t="shared" si="234"/>
        <v>720000</v>
      </c>
      <c r="V464" s="216">
        <f t="shared" si="234"/>
        <v>720000</v>
      </c>
      <c r="W464" s="215">
        <f t="shared" si="234"/>
        <v>0</v>
      </c>
      <c r="X464" s="215">
        <f t="shared" si="234"/>
        <v>0</v>
      </c>
      <c r="Y464" s="216">
        <f t="shared" si="234"/>
        <v>720000</v>
      </c>
      <c r="Z464" s="217">
        <f t="shared" si="234"/>
        <v>720000</v>
      </c>
      <c r="AA464" s="216">
        <f t="shared" si="234"/>
        <v>0</v>
      </c>
      <c r="AB464" s="216">
        <f t="shared" si="234"/>
        <v>720000</v>
      </c>
    </row>
    <row r="465" spans="1:28" ht="51" x14ac:dyDescent="0.2">
      <c r="A465" s="207" t="s">
        <v>310</v>
      </c>
      <c r="B465" s="58" t="s">
        <v>109</v>
      </c>
      <c r="C465" s="58" t="s">
        <v>88</v>
      </c>
      <c r="D465" s="59" t="s">
        <v>72</v>
      </c>
      <c r="E465" s="66" t="s">
        <v>86</v>
      </c>
      <c r="F465" s="66" t="s">
        <v>135</v>
      </c>
      <c r="G465" s="66" t="s">
        <v>135</v>
      </c>
      <c r="H465" s="66" t="s">
        <v>135</v>
      </c>
      <c r="I465" s="66" t="s">
        <v>211</v>
      </c>
      <c r="J465" s="67" t="s">
        <v>309</v>
      </c>
      <c r="K465" s="309"/>
      <c r="L465" s="68">
        <f t="shared" si="233"/>
        <v>540000</v>
      </c>
      <c r="M465" s="69">
        <f t="shared" si="233"/>
        <v>0</v>
      </c>
      <c r="N465" s="216">
        <f t="shared" si="233"/>
        <v>0</v>
      </c>
      <c r="O465" s="216">
        <f t="shared" si="233"/>
        <v>0</v>
      </c>
      <c r="P465" s="216">
        <f t="shared" si="233"/>
        <v>3349713.18</v>
      </c>
      <c r="Q465" s="68">
        <f t="shared" si="234"/>
        <v>720000</v>
      </c>
      <c r="R465" s="216">
        <f t="shared" si="234"/>
        <v>0</v>
      </c>
      <c r="S465" s="216">
        <f t="shared" si="235"/>
        <v>100000</v>
      </c>
      <c r="T465" s="216">
        <f t="shared" si="235"/>
        <v>3449713.18</v>
      </c>
      <c r="U465" s="68">
        <f t="shared" si="234"/>
        <v>720000</v>
      </c>
      <c r="V465" s="216">
        <f t="shared" si="234"/>
        <v>720000</v>
      </c>
      <c r="W465" s="215">
        <f t="shared" si="234"/>
        <v>0</v>
      </c>
      <c r="X465" s="215">
        <f t="shared" si="234"/>
        <v>0</v>
      </c>
      <c r="Y465" s="216">
        <f t="shared" si="234"/>
        <v>720000</v>
      </c>
      <c r="Z465" s="217">
        <f t="shared" si="234"/>
        <v>720000</v>
      </c>
      <c r="AA465" s="216">
        <f t="shared" si="234"/>
        <v>0</v>
      </c>
      <c r="AB465" s="216">
        <f t="shared" si="234"/>
        <v>720000</v>
      </c>
    </row>
    <row r="466" spans="1:28" x14ac:dyDescent="0.2">
      <c r="A466" s="212" t="s">
        <v>56</v>
      </c>
      <c r="B466" s="58" t="s">
        <v>109</v>
      </c>
      <c r="C466" s="58" t="s">
        <v>88</v>
      </c>
      <c r="D466" s="59" t="s">
        <v>72</v>
      </c>
      <c r="E466" s="66" t="s">
        <v>86</v>
      </c>
      <c r="F466" s="66" t="s">
        <v>135</v>
      </c>
      <c r="G466" s="66" t="s">
        <v>135</v>
      </c>
      <c r="H466" s="66" t="s">
        <v>135</v>
      </c>
      <c r="I466" s="66" t="s">
        <v>211</v>
      </c>
      <c r="J466" s="67" t="s">
        <v>309</v>
      </c>
      <c r="K466" s="309" t="s">
        <v>57</v>
      </c>
      <c r="L466" s="68">
        <f t="shared" si="233"/>
        <v>540000</v>
      </c>
      <c r="M466" s="69">
        <f t="shared" si="233"/>
        <v>0</v>
      </c>
      <c r="N466" s="216">
        <f t="shared" si="233"/>
        <v>0</v>
      </c>
      <c r="O466" s="216">
        <f t="shared" si="233"/>
        <v>0</v>
      </c>
      <c r="P466" s="216">
        <f t="shared" si="233"/>
        <v>3349713.18</v>
      </c>
      <c r="Q466" s="68">
        <f t="shared" si="234"/>
        <v>720000</v>
      </c>
      <c r="R466" s="216">
        <f t="shared" si="234"/>
        <v>0</v>
      </c>
      <c r="S466" s="216">
        <f t="shared" si="235"/>
        <v>100000</v>
      </c>
      <c r="T466" s="216">
        <f t="shared" si="235"/>
        <v>3449713.18</v>
      </c>
      <c r="U466" s="68">
        <f t="shared" si="234"/>
        <v>720000</v>
      </c>
      <c r="V466" s="216">
        <f t="shared" si="234"/>
        <v>720000</v>
      </c>
      <c r="W466" s="215">
        <f t="shared" si="234"/>
        <v>0</v>
      </c>
      <c r="X466" s="215">
        <f t="shared" si="234"/>
        <v>0</v>
      </c>
      <c r="Y466" s="216">
        <f t="shared" si="234"/>
        <v>720000</v>
      </c>
      <c r="Z466" s="217">
        <f t="shared" si="234"/>
        <v>720000</v>
      </c>
      <c r="AA466" s="216">
        <f t="shared" si="234"/>
        <v>0</v>
      </c>
      <c r="AB466" s="216">
        <f t="shared" si="234"/>
        <v>720000</v>
      </c>
    </row>
    <row r="467" spans="1:28" ht="25.5" x14ac:dyDescent="0.2">
      <c r="A467" s="212" t="s">
        <v>58</v>
      </c>
      <c r="B467" s="58" t="s">
        <v>109</v>
      </c>
      <c r="C467" s="58" t="s">
        <v>88</v>
      </c>
      <c r="D467" s="59" t="s">
        <v>72</v>
      </c>
      <c r="E467" s="66" t="s">
        <v>86</v>
      </c>
      <c r="F467" s="66" t="s">
        <v>135</v>
      </c>
      <c r="G467" s="66" t="s">
        <v>135</v>
      </c>
      <c r="H467" s="66" t="s">
        <v>135</v>
      </c>
      <c r="I467" s="66" t="s">
        <v>211</v>
      </c>
      <c r="J467" s="67" t="s">
        <v>309</v>
      </c>
      <c r="K467" s="309" t="s">
        <v>59</v>
      </c>
      <c r="L467" s="68">
        <v>540000</v>
      </c>
      <c r="M467" s="69">
        <v>0</v>
      </c>
      <c r="N467" s="216">
        <v>0</v>
      </c>
      <c r="O467" s="216">
        <v>0</v>
      </c>
      <c r="P467" s="216">
        <v>3349713.18</v>
      </c>
      <c r="Q467" s="68">
        <v>720000</v>
      </c>
      <c r="R467" s="216">
        <v>0</v>
      </c>
      <c r="S467" s="216">
        <v>100000</v>
      </c>
      <c r="T467" s="216">
        <f>S467+P467</f>
        <v>3449713.18</v>
      </c>
      <c r="U467" s="68">
        <v>720000</v>
      </c>
      <c r="V467" s="216">
        <v>720000</v>
      </c>
      <c r="W467" s="215">
        <v>0</v>
      </c>
      <c r="X467" s="215">
        <v>0</v>
      </c>
      <c r="Y467" s="216">
        <v>720000</v>
      </c>
      <c r="Z467" s="217">
        <v>720000</v>
      </c>
      <c r="AA467" s="216">
        <v>0</v>
      </c>
      <c r="AB467" s="216">
        <v>720000</v>
      </c>
    </row>
    <row r="468" spans="1:28" x14ac:dyDescent="0.2">
      <c r="A468" s="207" t="s">
        <v>111</v>
      </c>
      <c r="B468" s="58" t="s">
        <v>109</v>
      </c>
      <c r="C468" s="58" t="s">
        <v>88</v>
      </c>
      <c r="D468" s="59" t="s">
        <v>71</v>
      </c>
      <c r="E468" s="66"/>
      <c r="F468" s="66"/>
      <c r="G468" s="66"/>
      <c r="H468" s="66"/>
      <c r="I468" s="66"/>
      <c r="J468" s="67"/>
      <c r="K468" s="309"/>
      <c r="L468" s="68">
        <f t="shared" ref="L468:AB468" si="236">L469</f>
        <v>990000</v>
      </c>
      <c r="M468" s="69">
        <f t="shared" si="236"/>
        <v>0</v>
      </c>
      <c r="N468" s="216">
        <f t="shared" si="236"/>
        <v>0</v>
      </c>
      <c r="O468" s="216">
        <f t="shared" si="236"/>
        <v>0</v>
      </c>
      <c r="P468" s="216">
        <f t="shared" si="236"/>
        <v>593887.29</v>
      </c>
      <c r="Q468" s="68">
        <f t="shared" si="236"/>
        <v>1700000</v>
      </c>
      <c r="R468" s="216">
        <f t="shared" si="236"/>
        <v>0</v>
      </c>
      <c r="S468" s="216">
        <f t="shared" si="236"/>
        <v>1012612.71</v>
      </c>
      <c r="T468" s="216">
        <f t="shared" si="236"/>
        <v>1606500</v>
      </c>
      <c r="U468" s="68">
        <f t="shared" si="236"/>
        <v>1700000</v>
      </c>
      <c r="V468" s="216">
        <f t="shared" si="236"/>
        <v>1700000</v>
      </c>
      <c r="W468" s="215">
        <f t="shared" si="236"/>
        <v>0</v>
      </c>
      <c r="X468" s="215">
        <f t="shared" si="236"/>
        <v>0</v>
      </c>
      <c r="Y468" s="216">
        <f t="shared" si="236"/>
        <v>1700000</v>
      </c>
      <c r="Z468" s="217">
        <f t="shared" si="236"/>
        <v>1700000</v>
      </c>
      <c r="AA468" s="216">
        <f t="shared" si="236"/>
        <v>0</v>
      </c>
      <c r="AB468" s="216">
        <f t="shared" si="236"/>
        <v>1700000</v>
      </c>
    </row>
    <row r="469" spans="1:28" x14ac:dyDescent="0.2">
      <c r="A469" s="212" t="s">
        <v>362</v>
      </c>
      <c r="B469" s="58" t="s">
        <v>109</v>
      </c>
      <c r="C469" s="58" t="s">
        <v>88</v>
      </c>
      <c r="D469" s="59" t="s">
        <v>71</v>
      </c>
      <c r="E469" s="66" t="s">
        <v>75</v>
      </c>
      <c r="F469" s="66" t="s">
        <v>135</v>
      </c>
      <c r="G469" s="66" t="s">
        <v>135</v>
      </c>
      <c r="H469" s="66" t="s">
        <v>135</v>
      </c>
      <c r="I469" s="66" t="s">
        <v>136</v>
      </c>
      <c r="J469" s="67" t="s">
        <v>135</v>
      </c>
      <c r="K469" s="309"/>
      <c r="L469" s="68">
        <f t="shared" ref="L469:AB471" si="237">L470</f>
        <v>990000</v>
      </c>
      <c r="M469" s="69">
        <f t="shared" si="237"/>
        <v>0</v>
      </c>
      <c r="N469" s="216">
        <f t="shared" si="237"/>
        <v>0</v>
      </c>
      <c r="O469" s="216">
        <f t="shared" si="237"/>
        <v>0</v>
      </c>
      <c r="P469" s="216">
        <f t="shared" si="237"/>
        <v>593887.29</v>
      </c>
      <c r="Q469" s="68">
        <f t="shared" si="237"/>
        <v>1700000</v>
      </c>
      <c r="R469" s="216">
        <f t="shared" si="237"/>
        <v>0</v>
      </c>
      <c r="S469" s="216">
        <f t="shared" si="237"/>
        <v>1012612.71</v>
      </c>
      <c r="T469" s="216">
        <f t="shared" si="237"/>
        <v>1606500</v>
      </c>
      <c r="U469" s="68">
        <f t="shared" si="237"/>
        <v>1700000</v>
      </c>
      <c r="V469" s="216">
        <f t="shared" si="237"/>
        <v>1700000</v>
      </c>
      <c r="W469" s="215">
        <f t="shared" si="237"/>
        <v>0</v>
      </c>
      <c r="X469" s="215">
        <f t="shared" si="237"/>
        <v>0</v>
      </c>
      <c r="Y469" s="216">
        <f t="shared" si="237"/>
        <v>1700000</v>
      </c>
      <c r="Z469" s="217">
        <f t="shared" si="237"/>
        <v>1700000</v>
      </c>
      <c r="AA469" s="216">
        <f t="shared" si="237"/>
        <v>0</v>
      </c>
      <c r="AB469" s="216">
        <f t="shared" si="237"/>
        <v>1700000</v>
      </c>
    </row>
    <row r="470" spans="1:28" ht="89.25" customHeight="1" x14ac:dyDescent="0.2">
      <c r="A470" s="207" t="s">
        <v>308</v>
      </c>
      <c r="B470" s="58" t="s">
        <v>109</v>
      </c>
      <c r="C470" s="58" t="s">
        <v>88</v>
      </c>
      <c r="D470" s="59" t="s">
        <v>71</v>
      </c>
      <c r="E470" s="66" t="s">
        <v>75</v>
      </c>
      <c r="F470" s="66" t="s">
        <v>135</v>
      </c>
      <c r="G470" s="66" t="s">
        <v>135</v>
      </c>
      <c r="H470" s="66" t="s">
        <v>135</v>
      </c>
      <c r="I470" s="66" t="s">
        <v>197</v>
      </c>
      <c r="J470" s="67" t="s">
        <v>137</v>
      </c>
      <c r="K470" s="309"/>
      <c r="L470" s="68">
        <f t="shared" si="237"/>
        <v>990000</v>
      </c>
      <c r="M470" s="69">
        <f t="shared" si="237"/>
        <v>0</v>
      </c>
      <c r="N470" s="216">
        <f t="shared" si="237"/>
        <v>0</v>
      </c>
      <c r="O470" s="216">
        <f t="shared" si="237"/>
        <v>0</v>
      </c>
      <c r="P470" s="216">
        <f t="shared" si="237"/>
        <v>593887.29</v>
      </c>
      <c r="Q470" s="68">
        <f t="shared" si="237"/>
        <v>1700000</v>
      </c>
      <c r="R470" s="216">
        <f t="shared" si="237"/>
        <v>0</v>
      </c>
      <c r="S470" s="216">
        <f t="shared" si="237"/>
        <v>1012612.71</v>
      </c>
      <c r="T470" s="216">
        <f t="shared" si="237"/>
        <v>1606500</v>
      </c>
      <c r="U470" s="68">
        <f t="shared" si="237"/>
        <v>1700000</v>
      </c>
      <c r="V470" s="216">
        <f t="shared" si="237"/>
        <v>1700000</v>
      </c>
      <c r="W470" s="215">
        <f t="shared" si="237"/>
        <v>0</v>
      </c>
      <c r="X470" s="215">
        <f t="shared" si="237"/>
        <v>0</v>
      </c>
      <c r="Y470" s="216">
        <f t="shared" si="237"/>
        <v>1700000</v>
      </c>
      <c r="Z470" s="217">
        <f t="shared" si="237"/>
        <v>1700000</v>
      </c>
      <c r="AA470" s="216">
        <f t="shared" si="237"/>
        <v>0</v>
      </c>
      <c r="AB470" s="216">
        <f t="shared" si="237"/>
        <v>1700000</v>
      </c>
    </row>
    <row r="471" spans="1:28" x14ac:dyDescent="0.2">
      <c r="A471" s="212" t="s">
        <v>56</v>
      </c>
      <c r="B471" s="58" t="s">
        <v>109</v>
      </c>
      <c r="C471" s="58" t="s">
        <v>88</v>
      </c>
      <c r="D471" s="59" t="s">
        <v>71</v>
      </c>
      <c r="E471" s="66" t="s">
        <v>75</v>
      </c>
      <c r="F471" s="66" t="s">
        <v>135</v>
      </c>
      <c r="G471" s="66" t="s">
        <v>135</v>
      </c>
      <c r="H471" s="66" t="s">
        <v>135</v>
      </c>
      <c r="I471" s="66" t="s">
        <v>197</v>
      </c>
      <c r="J471" s="67" t="s">
        <v>137</v>
      </c>
      <c r="K471" s="309" t="s">
        <v>57</v>
      </c>
      <c r="L471" s="68">
        <f t="shared" si="237"/>
        <v>990000</v>
      </c>
      <c r="M471" s="69">
        <f t="shared" si="237"/>
        <v>0</v>
      </c>
      <c r="N471" s="216">
        <f t="shared" si="237"/>
        <v>0</v>
      </c>
      <c r="O471" s="216">
        <f t="shared" si="237"/>
        <v>0</v>
      </c>
      <c r="P471" s="216">
        <f t="shared" si="237"/>
        <v>593887.29</v>
      </c>
      <c r="Q471" s="68">
        <f t="shared" si="237"/>
        <v>1700000</v>
      </c>
      <c r="R471" s="216">
        <f t="shared" si="237"/>
        <v>0</v>
      </c>
      <c r="S471" s="216">
        <f t="shared" si="237"/>
        <v>1012612.71</v>
      </c>
      <c r="T471" s="216">
        <f t="shared" si="237"/>
        <v>1606500</v>
      </c>
      <c r="U471" s="68">
        <f t="shared" si="237"/>
        <v>1700000</v>
      </c>
      <c r="V471" s="216">
        <f t="shared" si="237"/>
        <v>1700000</v>
      </c>
      <c r="W471" s="215">
        <f t="shared" si="237"/>
        <v>0</v>
      </c>
      <c r="X471" s="215">
        <f t="shared" si="237"/>
        <v>0</v>
      </c>
      <c r="Y471" s="216">
        <f t="shared" si="237"/>
        <v>1700000</v>
      </c>
      <c r="Z471" s="217">
        <f t="shared" si="237"/>
        <v>1700000</v>
      </c>
      <c r="AA471" s="216">
        <f t="shared" si="237"/>
        <v>0</v>
      </c>
      <c r="AB471" s="216">
        <f t="shared" si="237"/>
        <v>1700000</v>
      </c>
    </row>
    <row r="472" spans="1:28" ht="25.5" x14ac:dyDescent="0.2">
      <c r="A472" s="212" t="s">
        <v>58</v>
      </c>
      <c r="B472" s="58" t="s">
        <v>109</v>
      </c>
      <c r="C472" s="58" t="s">
        <v>88</v>
      </c>
      <c r="D472" s="59" t="s">
        <v>71</v>
      </c>
      <c r="E472" s="66" t="s">
        <v>75</v>
      </c>
      <c r="F472" s="66" t="s">
        <v>135</v>
      </c>
      <c r="G472" s="66" t="s">
        <v>135</v>
      </c>
      <c r="H472" s="66" t="s">
        <v>135</v>
      </c>
      <c r="I472" s="66" t="s">
        <v>197</v>
      </c>
      <c r="J472" s="67" t="s">
        <v>137</v>
      </c>
      <c r="K472" s="309" t="s">
        <v>59</v>
      </c>
      <c r="L472" s="68">
        <v>990000</v>
      </c>
      <c r="M472" s="69">
        <v>0</v>
      </c>
      <c r="N472" s="216">
        <v>0</v>
      </c>
      <c r="O472" s="216">
        <v>0</v>
      </c>
      <c r="P472" s="216">
        <v>593887.29</v>
      </c>
      <c r="Q472" s="68">
        <v>1700000</v>
      </c>
      <c r="R472" s="216">
        <v>0</v>
      </c>
      <c r="S472" s="216">
        <v>1012612.71</v>
      </c>
      <c r="T472" s="216">
        <f>S472+P472</f>
        <v>1606500</v>
      </c>
      <c r="U472" s="68">
        <v>1700000</v>
      </c>
      <c r="V472" s="216">
        <v>1700000</v>
      </c>
      <c r="W472" s="215">
        <v>0</v>
      </c>
      <c r="X472" s="215">
        <v>0</v>
      </c>
      <c r="Y472" s="216">
        <v>1700000</v>
      </c>
      <c r="Z472" s="217">
        <v>1700000</v>
      </c>
      <c r="AA472" s="216">
        <v>0</v>
      </c>
      <c r="AB472" s="216">
        <v>1700000</v>
      </c>
    </row>
    <row r="473" spans="1:28" x14ac:dyDescent="0.2">
      <c r="A473" s="258" t="s">
        <v>170</v>
      </c>
      <c r="B473" s="58" t="s">
        <v>109</v>
      </c>
      <c r="C473" s="77" t="s">
        <v>88</v>
      </c>
      <c r="D473" s="78" t="s">
        <v>70</v>
      </c>
      <c r="E473" s="79"/>
      <c r="F473" s="79"/>
      <c r="G473" s="66"/>
      <c r="H473" s="66"/>
      <c r="I473" s="126"/>
      <c r="J473" s="67"/>
      <c r="K473" s="291"/>
      <c r="L473" s="68">
        <f t="shared" ref="L473:AB473" si="238">L474</f>
        <v>4880968.95</v>
      </c>
      <c r="M473" s="69">
        <f t="shared" si="238"/>
        <v>0</v>
      </c>
      <c r="N473" s="216">
        <f t="shared" si="238"/>
        <v>5741306.2199999997</v>
      </c>
      <c r="O473" s="216">
        <f t="shared" si="238"/>
        <v>0</v>
      </c>
      <c r="P473" s="216">
        <f t="shared" si="238"/>
        <v>5741306.2199999997</v>
      </c>
      <c r="Q473" s="68">
        <f t="shared" si="238"/>
        <v>5742188.8699999992</v>
      </c>
      <c r="R473" s="216">
        <f t="shared" si="238"/>
        <v>0</v>
      </c>
      <c r="S473" s="216">
        <f t="shared" si="238"/>
        <v>0</v>
      </c>
      <c r="T473" s="216">
        <f t="shared" si="238"/>
        <v>5741306.2199999997</v>
      </c>
      <c r="U473" s="68">
        <f t="shared" si="238"/>
        <v>5742188.8699999992</v>
      </c>
      <c r="V473" s="216">
        <f t="shared" si="238"/>
        <v>5942101.21</v>
      </c>
      <c r="W473" s="215">
        <f t="shared" si="238"/>
        <v>0</v>
      </c>
      <c r="X473" s="215">
        <f t="shared" si="238"/>
        <v>0</v>
      </c>
      <c r="Y473" s="216">
        <f t="shared" si="238"/>
        <v>5742188.8699999992</v>
      </c>
      <c r="Z473" s="217">
        <f t="shared" si="238"/>
        <v>5942101.21</v>
      </c>
      <c r="AA473" s="216">
        <f t="shared" si="238"/>
        <v>0</v>
      </c>
      <c r="AB473" s="216">
        <f t="shared" si="238"/>
        <v>5942101.21</v>
      </c>
    </row>
    <row r="474" spans="1:28" x14ac:dyDescent="0.2">
      <c r="A474" s="212" t="s">
        <v>19</v>
      </c>
      <c r="B474" s="58" t="s">
        <v>109</v>
      </c>
      <c r="C474" s="77" t="s">
        <v>88</v>
      </c>
      <c r="D474" s="78" t="s">
        <v>70</v>
      </c>
      <c r="E474" s="66" t="s">
        <v>9</v>
      </c>
      <c r="F474" s="66" t="s">
        <v>135</v>
      </c>
      <c r="G474" s="66" t="s">
        <v>135</v>
      </c>
      <c r="H474" s="66" t="s">
        <v>135</v>
      </c>
      <c r="I474" s="66" t="s">
        <v>136</v>
      </c>
      <c r="J474" s="67" t="s">
        <v>135</v>
      </c>
      <c r="K474" s="291"/>
      <c r="L474" s="68">
        <f t="shared" ref="L474:Z474" si="239">L478+L475</f>
        <v>4880968.95</v>
      </c>
      <c r="M474" s="69">
        <f t="shared" si="239"/>
        <v>0</v>
      </c>
      <c r="N474" s="216">
        <f t="shared" si="239"/>
        <v>5741306.2199999997</v>
      </c>
      <c r="O474" s="216">
        <f t="shared" si="239"/>
        <v>0</v>
      </c>
      <c r="P474" s="216">
        <f t="shared" si="239"/>
        <v>5741306.2199999997</v>
      </c>
      <c r="Q474" s="68">
        <f t="shared" si="239"/>
        <v>5742188.8699999992</v>
      </c>
      <c r="R474" s="216">
        <f t="shared" si="239"/>
        <v>0</v>
      </c>
      <c r="S474" s="216">
        <f>S478+S475</f>
        <v>0</v>
      </c>
      <c r="T474" s="216">
        <f>T478+T475</f>
        <v>5741306.2199999997</v>
      </c>
      <c r="U474" s="68">
        <f t="shared" si="239"/>
        <v>5742188.8699999992</v>
      </c>
      <c r="V474" s="216">
        <f t="shared" si="239"/>
        <v>5942101.21</v>
      </c>
      <c r="W474" s="215">
        <f t="shared" si="239"/>
        <v>0</v>
      </c>
      <c r="X474" s="215">
        <f>X478+X475</f>
        <v>0</v>
      </c>
      <c r="Y474" s="216">
        <f>Y478+Y475</f>
        <v>5742188.8699999992</v>
      </c>
      <c r="Z474" s="217">
        <f t="shared" si="239"/>
        <v>5942101.21</v>
      </c>
      <c r="AA474" s="216">
        <f>AA478+AA475</f>
        <v>0</v>
      </c>
      <c r="AB474" s="216">
        <f>AB478+AB475</f>
        <v>5942101.21</v>
      </c>
    </row>
    <row r="475" spans="1:28" ht="51" x14ac:dyDescent="0.2">
      <c r="A475" s="212" t="s">
        <v>294</v>
      </c>
      <c r="B475" s="58" t="s">
        <v>109</v>
      </c>
      <c r="C475" s="58" t="s">
        <v>88</v>
      </c>
      <c r="D475" s="59" t="s">
        <v>70</v>
      </c>
      <c r="E475" s="66" t="s">
        <v>9</v>
      </c>
      <c r="F475" s="66" t="s">
        <v>135</v>
      </c>
      <c r="G475" s="66" t="s">
        <v>135</v>
      </c>
      <c r="H475" s="66" t="s">
        <v>135</v>
      </c>
      <c r="I475" s="66" t="s">
        <v>293</v>
      </c>
      <c r="J475" s="67" t="s">
        <v>135</v>
      </c>
      <c r="K475" s="309"/>
      <c r="L475" s="68">
        <f t="shared" ref="L475:AB476" si="240">L476</f>
        <v>336382.86</v>
      </c>
      <c r="M475" s="69">
        <f t="shared" si="240"/>
        <v>0</v>
      </c>
      <c r="N475" s="216">
        <f t="shared" si="240"/>
        <v>533016</v>
      </c>
      <c r="O475" s="216">
        <f t="shared" si="240"/>
        <v>0</v>
      </c>
      <c r="P475" s="216">
        <f t="shared" si="240"/>
        <v>533016</v>
      </c>
      <c r="Q475" s="68">
        <f t="shared" si="240"/>
        <v>438048</v>
      </c>
      <c r="R475" s="216">
        <f t="shared" si="240"/>
        <v>0</v>
      </c>
      <c r="S475" s="216">
        <f t="shared" si="240"/>
        <v>0</v>
      </c>
      <c r="T475" s="216">
        <f t="shared" si="240"/>
        <v>533016</v>
      </c>
      <c r="U475" s="68">
        <f t="shared" si="240"/>
        <v>438048</v>
      </c>
      <c r="V475" s="216">
        <f t="shared" si="240"/>
        <v>438048</v>
      </c>
      <c r="W475" s="215">
        <f t="shared" si="240"/>
        <v>0</v>
      </c>
      <c r="X475" s="215">
        <f t="shared" si="240"/>
        <v>0</v>
      </c>
      <c r="Y475" s="216">
        <f t="shared" si="240"/>
        <v>438048</v>
      </c>
      <c r="Z475" s="217">
        <f t="shared" si="240"/>
        <v>438048</v>
      </c>
      <c r="AA475" s="216">
        <f t="shared" si="240"/>
        <v>0</v>
      </c>
      <c r="AB475" s="216">
        <f t="shared" si="240"/>
        <v>438048</v>
      </c>
    </row>
    <row r="476" spans="1:28" x14ac:dyDescent="0.2">
      <c r="A476" s="212" t="s">
        <v>56</v>
      </c>
      <c r="B476" s="58" t="s">
        <v>109</v>
      </c>
      <c r="C476" s="58" t="s">
        <v>88</v>
      </c>
      <c r="D476" s="59" t="s">
        <v>70</v>
      </c>
      <c r="E476" s="79" t="s">
        <v>9</v>
      </c>
      <c r="F476" s="66" t="s">
        <v>135</v>
      </c>
      <c r="G476" s="66" t="s">
        <v>135</v>
      </c>
      <c r="H476" s="66" t="s">
        <v>135</v>
      </c>
      <c r="I476" s="66" t="s">
        <v>293</v>
      </c>
      <c r="J476" s="67" t="s">
        <v>135</v>
      </c>
      <c r="K476" s="309" t="s">
        <v>57</v>
      </c>
      <c r="L476" s="68">
        <f t="shared" si="240"/>
        <v>336382.86</v>
      </c>
      <c r="M476" s="69">
        <f t="shared" si="240"/>
        <v>0</v>
      </c>
      <c r="N476" s="216">
        <f t="shared" si="240"/>
        <v>533016</v>
      </c>
      <c r="O476" s="216">
        <f t="shared" si="240"/>
        <v>0</v>
      </c>
      <c r="P476" s="216">
        <f t="shared" si="240"/>
        <v>533016</v>
      </c>
      <c r="Q476" s="68">
        <f t="shared" si="240"/>
        <v>438048</v>
      </c>
      <c r="R476" s="216">
        <f t="shared" si="240"/>
        <v>0</v>
      </c>
      <c r="S476" s="216">
        <f t="shared" si="240"/>
        <v>0</v>
      </c>
      <c r="T476" s="216">
        <f t="shared" si="240"/>
        <v>533016</v>
      </c>
      <c r="U476" s="68">
        <f t="shared" si="240"/>
        <v>438048</v>
      </c>
      <c r="V476" s="216">
        <f t="shared" si="240"/>
        <v>438048</v>
      </c>
      <c r="W476" s="215">
        <f t="shared" si="240"/>
        <v>0</v>
      </c>
      <c r="X476" s="215">
        <f t="shared" si="240"/>
        <v>0</v>
      </c>
      <c r="Y476" s="216">
        <f t="shared" si="240"/>
        <v>438048</v>
      </c>
      <c r="Z476" s="217">
        <f t="shared" si="240"/>
        <v>438048</v>
      </c>
      <c r="AA476" s="216">
        <f t="shared" si="240"/>
        <v>0</v>
      </c>
      <c r="AB476" s="216">
        <f t="shared" si="240"/>
        <v>438048</v>
      </c>
    </row>
    <row r="477" spans="1:28" ht="25.5" x14ac:dyDescent="0.2">
      <c r="A477" s="212" t="s">
        <v>58</v>
      </c>
      <c r="B477" s="58" t="s">
        <v>109</v>
      </c>
      <c r="C477" s="58" t="s">
        <v>88</v>
      </c>
      <c r="D477" s="59" t="s">
        <v>70</v>
      </c>
      <c r="E477" s="66" t="s">
        <v>9</v>
      </c>
      <c r="F477" s="66" t="s">
        <v>135</v>
      </c>
      <c r="G477" s="66" t="s">
        <v>135</v>
      </c>
      <c r="H477" s="66" t="s">
        <v>135</v>
      </c>
      <c r="I477" s="66" t="s">
        <v>293</v>
      </c>
      <c r="J477" s="67" t="s">
        <v>135</v>
      </c>
      <c r="K477" s="309" t="s">
        <v>59</v>
      </c>
      <c r="L477" s="68">
        <v>336382.86</v>
      </c>
      <c r="M477" s="69">
        <v>0</v>
      </c>
      <c r="N477" s="216">
        <v>533016</v>
      </c>
      <c r="O477" s="216">
        <v>0</v>
      </c>
      <c r="P477" s="216">
        <v>533016</v>
      </c>
      <c r="Q477" s="68">
        <v>438048</v>
      </c>
      <c r="R477" s="216">
        <v>0</v>
      </c>
      <c r="S477" s="216">
        <v>0</v>
      </c>
      <c r="T477" s="216">
        <v>533016</v>
      </c>
      <c r="U477" s="68">
        <v>438048</v>
      </c>
      <c r="V477" s="216">
        <v>438048</v>
      </c>
      <c r="W477" s="215">
        <v>0</v>
      </c>
      <c r="X477" s="215">
        <v>0</v>
      </c>
      <c r="Y477" s="216">
        <v>438048</v>
      </c>
      <c r="Z477" s="217">
        <v>438048</v>
      </c>
      <c r="AA477" s="216">
        <v>0</v>
      </c>
      <c r="AB477" s="216">
        <v>438048</v>
      </c>
    </row>
    <row r="478" spans="1:28" ht="25.5" x14ac:dyDescent="0.2">
      <c r="A478" s="212" t="s">
        <v>106</v>
      </c>
      <c r="B478" s="58" t="s">
        <v>109</v>
      </c>
      <c r="C478" s="77" t="s">
        <v>88</v>
      </c>
      <c r="D478" s="78" t="s">
        <v>70</v>
      </c>
      <c r="E478" s="66" t="s">
        <v>9</v>
      </c>
      <c r="F478" s="66" t="s">
        <v>135</v>
      </c>
      <c r="G478" s="66" t="s">
        <v>135</v>
      </c>
      <c r="H478" s="66" t="s">
        <v>135</v>
      </c>
      <c r="I478" s="66" t="s">
        <v>283</v>
      </c>
      <c r="J478" s="67" t="s">
        <v>133</v>
      </c>
      <c r="K478" s="309"/>
      <c r="L478" s="68">
        <f t="shared" ref="L478:Z478" si="241">L479+L481</f>
        <v>4544586.09</v>
      </c>
      <c r="M478" s="69">
        <f t="shared" si="241"/>
        <v>0</v>
      </c>
      <c r="N478" s="216">
        <f t="shared" si="241"/>
        <v>5208290.22</v>
      </c>
      <c r="O478" s="216">
        <f t="shared" si="241"/>
        <v>0</v>
      </c>
      <c r="P478" s="216">
        <f t="shared" si="241"/>
        <v>5208290.22</v>
      </c>
      <c r="Q478" s="68">
        <f t="shared" si="241"/>
        <v>5304140.8699999992</v>
      </c>
      <c r="R478" s="216">
        <f t="shared" si="241"/>
        <v>0</v>
      </c>
      <c r="S478" s="216">
        <f>S479+S481</f>
        <v>0</v>
      </c>
      <c r="T478" s="216">
        <f>T479+T481</f>
        <v>5208290.22</v>
      </c>
      <c r="U478" s="68">
        <f t="shared" si="241"/>
        <v>5304140.8699999992</v>
      </c>
      <c r="V478" s="216">
        <f t="shared" si="241"/>
        <v>5504053.21</v>
      </c>
      <c r="W478" s="215">
        <f t="shared" si="241"/>
        <v>0</v>
      </c>
      <c r="X478" s="215">
        <f>X479+X481</f>
        <v>0</v>
      </c>
      <c r="Y478" s="216">
        <f>Y479+Y481</f>
        <v>5304140.8699999992</v>
      </c>
      <c r="Z478" s="217">
        <f t="shared" si="241"/>
        <v>5504053.21</v>
      </c>
      <c r="AA478" s="216">
        <f>AA479+AA481</f>
        <v>0</v>
      </c>
      <c r="AB478" s="216">
        <f>AB479+AB481</f>
        <v>5504053.21</v>
      </c>
    </row>
    <row r="479" spans="1:28" ht="51" x14ac:dyDescent="0.2">
      <c r="A479" s="212" t="s">
        <v>67</v>
      </c>
      <c r="B479" s="58" t="s">
        <v>109</v>
      </c>
      <c r="C479" s="77" t="s">
        <v>88</v>
      </c>
      <c r="D479" s="78" t="s">
        <v>70</v>
      </c>
      <c r="E479" s="66" t="s">
        <v>9</v>
      </c>
      <c r="F479" s="66" t="s">
        <v>135</v>
      </c>
      <c r="G479" s="66" t="s">
        <v>135</v>
      </c>
      <c r="H479" s="66" t="s">
        <v>135</v>
      </c>
      <c r="I479" s="66" t="s">
        <v>283</v>
      </c>
      <c r="J479" s="67" t="s">
        <v>133</v>
      </c>
      <c r="K479" s="309">
        <v>100</v>
      </c>
      <c r="L479" s="68">
        <f t="shared" ref="L479:AB479" si="242">L480</f>
        <v>4418600</v>
      </c>
      <c r="M479" s="69">
        <f t="shared" si="242"/>
        <v>0</v>
      </c>
      <c r="N479" s="216">
        <f t="shared" si="242"/>
        <v>5069154.45</v>
      </c>
      <c r="O479" s="216">
        <f t="shared" si="242"/>
        <v>0</v>
      </c>
      <c r="P479" s="216">
        <f t="shared" si="242"/>
        <v>5069154.45</v>
      </c>
      <c r="Q479" s="68">
        <f t="shared" si="242"/>
        <v>5161505.0999999996</v>
      </c>
      <c r="R479" s="216">
        <f t="shared" si="242"/>
        <v>0</v>
      </c>
      <c r="S479" s="216">
        <f t="shared" si="242"/>
        <v>-59600</v>
      </c>
      <c r="T479" s="216">
        <f t="shared" si="242"/>
        <v>5009554.45</v>
      </c>
      <c r="U479" s="68">
        <f t="shared" si="242"/>
        <v>5161505.0999999996</v>
      </c>
      <c r="V479" s="216">
        <f t="shared" si="242"/>
        <v>5361417.4400000004</v>
      </c>
      <c r="W479" s="215">
        <f t="shared" si="242"/>
        <v>0</v>
      </c>
      <c r="X479" s="215">
        <f t="shared" si="242"/>
        <v>0</v>
      </c>
      <c r="Y479" s="216">
        <f t="shared" si="242"/>
        <v>5161505.0999999996</v>
      </c>
      <c r="Z479" s="217">
        <f t="shared" si="242"/>
        <v>5361417.4400000004</v>
      </c>
      <c r="AA479" s="216">
        <f t="shared" si="242"/>
        <v>0</v>
      </c>
      <c r="AB479" s="216">
        <f t="shared" si="242"/>
        <v>5361417.4400000004</v>
      </c>
    </row>
    <row r="480" spans="1:28" ht="25.5" x14ac:dyDescent="0.2">
      <c r="A480" s="212" t="s">
        <v>61</v>
      </c>
      <c r="B480" s="58" t="s">
        <v>109</v>
      </c>
      <c r="C480" s="77" t="s">
        <v>88</v>
      </c>
      <c r="D480" s="78" t="s">
        <v>70</v>
      </c>
      <c r="E480" s="66" t="s">
        <v>9</v>
      </c>
      <c r="F480" s="66" t="s">
        <v>135</v>
      </c>
      <c r="G480" s="66" t="s">
        <v>135</v>
      </c>
      <c r="H480" s="66" t="s">
        <v>135</v>
      </c>
      <c r="I480" s="66" t="s">
        <v>283</v>
      </c>
      <c r="J480" s="67" t="s">
        <v>133</v>
      </c>
      <c r="K480" s="309">
        <v>120</v>
      </c>
      <c r="L480" s="68">
        <f>3287400+986800+144400</f>
        <v>4418600</v>
      </c>
      <c r="M480" s="69">
        <v>0</v>
      </c>
      <c r="N480" s="216">
        <f>3802607.09+1142347.36+124200</f>
        <v>5069154.45</v>
      </c>
      <c r="O480" s="216">
        <v>0</v>
      </c>
      <c r="P480" s="216">
        <f>3802607.09+1142347.36+124200</f>
        <v>5069154.45</v>
      </c>
      <c r="Q480" s="68">
        <f>3934980.86+1182324.24+44200</f>
        <v>5161505.0999999996</v>
      </c>
      <c r="R480" s="216">
        <v>0</v>
      </c>
      <c r="S480" s="216">
        <v>-59600</v>
      </c>
      <c r="T480" s="216">
        <f>P480+S480</f>
        <v>5009554.45</v>
      </c>
      <c r="U480" s="68">
        <f>3934980.86+1182324.24+44200</f>
        <v>5161505.0999999996</v>
      </c>
      <c r="V480" s="216">
        <f>4037064.1+1213153.34+111200</f>
        <v>5361417.4400000004</v>
      </c>
      <c r="W480" s="215">
        <v>0</v>
      </c>
      <c r="X480" s="215">
        <v>0</v>
      </c>
      <c r="Y480" s="216">
        <f>3934980.86+1182324.24+44200</f>
        <v>5161505.0999999996</v>
      </c>
      <c r="Z480" s="217">
        <f>4037064.1+1213153.34+111200</f>
        <v>5361417.4400000004</v>
      </c>
      <c r="AA480" s="216">
        <v>0</v>
      </c>
      <c r="AB480" s="216">
        <f>4037064.1+1213153.34+111200</f>
        <v>5361417.4400000004</v>
      </c>
    </row>
    <row r="481" spans="1:28" ht="25.5" x14ac:dyDescent="0.2">
      <c r="A481" s="362" t="s">
        <v>52</v>
      </c>
      <c r="B481" s="60" t="s">
        <v>109</v>
      </c>
      <c r="C481" s="77" t="s">
        <v>88</v>
      </c>
      <c r="D481" s="78" t="s">
        <v>70</v>
      </c>
      <c r="E481" s="66" t="s">
        <v>9</v>
      </c>
      <c r="F481" s="66" t="s">
        <v>135</v>
      </c>
      <c r="G481" s="66" t="s">
        <v>135</v>
      </c>
      <c r="H481" s="66" t="s">
        <v>135</v>
      </c>
      <c r="I481" s="66" t="s">
        <v>283</v>
      </c>
      <c r="J481" s="67" t="s">
        <v>133</v>
      </c>
      <c r="K481" s="309">
        <v>200</v>
      </c>
      <c r="L481" s="68">
        <f t="shared" ref="L481:AB481" si="243">L482</f>
        <v>125986.09</v>
      </c>
      <c r="M481" s="69">
        <f t="shared" si="243"/>
        <v>0</v>
      </c>
      <c r="N481" s="216">
        <f t="shared" si="243"/>
        <v>139135.76999999999</v>
      </c>
      <c r="O481" s="216">
        <f t="shared" si="243"/>
        <v>0</v>
      </c>
      <c r="P481" s="216">
        <f t="shared" si="243"/>
        <v>139135.76999999999</v>
      </c>
      <c r="Q481" s="68">
        <f t="shared" si="243"/>
        <v>142635.76999999999</v>
      </c>
      <c r="R481" s="216">
        <f t="shared" si="243"/>
        <v>0</v>
      </c>
      <c r="S481" s="216">
        <f t="shared" si="243"/>
        <v>59600</v>
      </c>
      <c r="T481" s="216">
        <f t="shared" si="243"/>
        <v>198735.77</v>
      </c>
      <c r="U481" s="68">
        <f t="shared" si="243"/>
        <v>142635.76999999999</v>
      </c>
      <c r="V481" s="216">
        <f t="shared" si="243"/>
        <v>142635.76999999999</v>
      </c>
      <c r="W481" s="215">
        <f t="shared" si="243"/>
        <v>0</v>
      </c>
      <c r="X481" s="215">
        <f t="shared" si="243"/>
        <v>0</v>
      </c>
      <c r="Y481" s="216">
        <f t="shared" si="243"/>
        <v>142635.76999999999</v>
      </c>
      <c r="Z481" s="217">
        <f t="shared" si="243"/>
        <v>142635.76999999999</v>
      </c>
      <c r="AA481" s="216">
        <f t="shared" si="243"/>
        <v>0</v>
      </c>
      <c r="AB481" s="216">
        <f t="shared" si="243"/>
        <v>142635.76999999999</v>
      </c>
    </row>
    <row r="482" spans="1:28" ht="25.5" x14ac:dyDescent="0.2">
      <c r="A482" s="362" t="s">
        <v>54</v>
      </c>
      <c r="B482" s="60" t="s">
        <v>109</v>
      </c>
      <c r="C482" s="77" t="s">
        <v>88</v>
      </c>
      <c r="D482" s="78" t="s">
        <v>70</v>
      </c>
      <c r="E482" s="66" t="s">
        <v>9</v>
      </c>
      <c r="F482" s="66" t="s">
        <v>135</v>
      </c>
      <c r="G482" s="66" t="s">
        <v>135</v>
      </c>
      <c r="H482" s="66" t="s">
        <v>135</v>
      </c>
      <c r="I482" s="66" t="s">
        <v>283</v>
      </c>
      <c r="J482" s="67" t="s">
        <v>133</v>
      </c>
      <c r="K482" s="214">
        <v>240</v>
      </c>
      <c r="L482" s="68">
        <v>125986.09</v>
      </c>
      <c r="M482" s="69">
        <v>0</v>
      </c>
      <c r="N482" s="216">
        <v>139135.76999999999</v>
      </c>
      <c r="O482" s="216">
        <v>0</v>
      </c>
      <c r="P482" s="216">
        <v>139135.76999999999</v>
      </c>
      <c r="Q482" s="68">
        <v>142635.76999999999</v>
      </c>
      <c r="R482" s="216">
        <v>0</v>
      </c>
      <c r="S482" s="216">
        <v>59600</v>
      </c>
      <c r="T482" s="216">
        <f>S482+P482</f>
        <v>198735.77</v>
      </c>
      <c r="U482" s="68">
        <v>142635.76999999999</v>
      </c>
      <c r="V482" s="216">
        <v>142635.76999999999</v>
      </c>
      <c r="W482" s="215">
        <v>0</v>
      </c>
      <c r="X482" s="215">
        <v>0</v>
      </c>
      <c r="Y482" s="216">
        <v>142635.76999999999</v>
      </c>
      <c r="Z482" s="217">
        <v>142635.76999999999</v>
      </c>
      <c r="AA482" s="216">
        <v>0</v>
      </c>
      <c r="AB482" s="216">
        <v>142635.76999999999</v>
      </c>
    </row>
    <row r="483" spans="1:28" s="2" customFormat="1" x14ac:dyDescent="0.2">
      <c r="A483" s="485" t="s">
        <v>124</v>
      </c>
      <c r="B483" s="60" t="s">
        <v>109</v>
      </c>
      <c r="C483" s="77" t="s">
        <v>95</v>
      </c>
      <c r="D483" s="78"/>
      <c r="E483" s="79"/>
      <c r="F483" s="79"/>
      <c r="G483" s="66"/>
      <c r="H483" s="66"/>
      <c r="I483" s="79"/>
      <c r="J483" s="80"/>
      <c r="K483" s="260"/>
      <c r="L483" s="64" t="e">
        <f>L484+L509</f>
        <v>#REF!</v>
      </c>
      <c r="M483" s="65" t="e">
        <f>M484+M509</f>
        <v>#REF!</v>
      </c>
      <c r="N483" s="224">
        <f t="shared" ref="N483:AB483" si="244">N484+N509+N499</f>
        <v>0</v>
      </c>
      <c r="O483" s="224">
        <f t="shared" si="244"/>
        <v>184116316</v>
      </c>
      <c r="P483" s="224">
        <f t="shared" si="244"/>
        <v>188974636</v>
      </c>
      <c r="Q483" s="224">
        <f t="shared" si="244"/>
        <v>1155560.0899999999</v>
      </c>
      <c r="R483" s="224">
        <f t="shared" si="244"/>
        <v>0</v>
      </c>
      <c r="S483" s="224">
        <f t="shared" si="244"/>
        <v>4040400.6</v>
      </c>
      <c r="T483" s="224">
        <f t="shared" si="244"/>
        <v>193015036.59999999</v>
      </c>
      <c r="U483" s="225">
        <f t="shared" si="244"/>
        <v>1155560.0899999999</v>
      </c>
      <c r="V483" s="224">
        <f t="shared" si="244"/>
        <v>1166560.0899999999</v>
      </c>
      <c r="W483" s="223">
        <f t="shared" si="244"/>
        <v>0</v>
      </c>
      <c r="X483" s="223">
        <f t="shared" si="244"/>
        <v>0</v>
      </c>
      <c r="Y483" s="224">
        <f t="shared" si="244"/>
        <v>1155560.0899999999</v>
      </c>
      <c r="Z483" s="225">
        <f t="shared" si="244"/>
        <v>1166560.0899999999</v>
      </c>
      <c r="AA483" s="224">
        <f t="shared" si="244"/>
        <v>0</v>
      </c>
      <c r="AB483" s="224">
        <f t="shared" si="244"/>
        <v>1166560.0899999999</v>
      </c>
    </row>
    <row r="484" spans="1:28" s="2" customFormat="1" x14ac:dyDescent="0.2">
      <c r="A484" s="485" t="s">
        <v>123</v>
      </c>
      <c r="B484" s="60" t="s">
        <v>109</v>
      </c>
      <c r="C484" s="58" t="s">
        <v>95</v>
      </c>
      <c r="D484" s="59" t="s">
        <v>69</v>
      </c>
      <c r="E484" s="60"/>
      <c r="F484" s="60"/>
      <c r="G484" s="66"/>
      <c r="H484" s="66"/>
      <c r="I484" s="60"/>
      <c r="J484" s="76"/>
      <c r="K484" s="246"/>
      <c r="L484" s="64" t="e">
        <f t="shared" ref="L484:O484" si="245">L489</f>
        <v>#REF!</v>
      </c>
      <c r="M484" s="65" t="e">
        <f t="shared" si="245"/>
        <v>#REF!</v>
      </c>
      <c r="N484" s="224">
        <f t="shared" si="245"/>
        <v>0</v>
      </c>
      <c r="O484" s="224">
        <f t="shared" si="245"/>
        <v>0</v>
      </c>
      <c r="P484" s="224">
        <f>P489+P485</f>
        <v>325000</v>
      </c>
      <c r="Q484" s="224">
        <f t="shared" ref="Q484:AB484" si="246">Q489+Q485</f>
        <v>809560.09</v>
      </c>
      <c r="R484" s="224">
        <f t="shared" si="246"/>
        <v>0</v>
      </c>
      <c r="S484" s="224">
        <f t="shared" si="246"/>
        <v>2482123.6</v>
      </c>
      <c r="T484" s="224">
        <f t="shared" si="246"/>
        <v>2807123.6</v>
      </c>
      <c r="U484" s="225">
        <f t="shared" si="246"/>
        <v>809560.09</v>
      </c>
      <c r="V484" s="224">
        <f t="shared" si="246"/>
        <v>820560.09</v>
      </c>
      <c r="W484" s="224">
        <f t="shared" si="246"/>
        <v>0</v>
      </c>
      <c r="X484" s="223">
        <f t="shared" si="246"/>
        <v>0</v>
      </c>
      <c r="Y484" s="224">
        <f t="shared" si="246"/>
        <v>809560.09</v>
      </c>
      <c r="Z484" s="225">
        <f t="shared" si="246"/>
        <v>820560.09</v>
      </c>
      <c r="AA484" s="224">
        <f t="shared" si="246"/>
        <v>0</v>
      </c>
      <c r="AB484" s="224">
        <f t="shared" si="246"/>
        <v>820560.09</v>
      </c>
    </row>
    <row r="485" spans="1:28" s="2" customFormat="1" ht="38.25" x14ac:dyDescent="0.2">
      <c r="A485" s="362" t="s">
        <v>356</v>
      </c>
      <c r="B485" s="60" t="s">
        <v>109</v>
      </c>
      <c r="C485" s="58" t="s">
        <v>95</v>
      </c>
      <c r="D485" s="59" t="s">
        <v>69</v>
      </c>
      <c r="E485" s="103" t="s">
        <v>72</v>
      </c>
      <c r="F485" s="66" t="s">
        <v>135</v>
      </c>
      <c r="G485" s="66" t="s">
        <v>135</v>
      </c>
      <c r="H485" s="66" t="s">
        <v>135</v>
      </c>
      <c r="I485" s="72" t="s">
        <v>136</v>
      </c>
      <c r="J485" s="67" t="s">
        <v>135</v>
      </c>
      <c r="K485" s="372"/>
      <c r="L485" s="68"/>
      <c r="M485" s="69"/>
      <c r="N485" s="216"/>
      <c r="O485" s="216"/>
      <c r="P485" s="216">
        <f>P486</f>
        <v>0</v>
      </c>
      <c r="Q485" s="215"/>
      <c r="R485" s="216"/>
      <c r="S485" s="216">
        <f t="shared" ref="S485:U487" si="247">S486</f>
        <v>2416600</v>
      </c>
      <c r="T485" s="216">
        <f t="shared" si="247"/>
        <v>2416600</v>
      </c>
      <c r="U485" s="217">
        <f t="shared" si="247"/>
        <v>0</v>
      </c>
      <c r="V485" s="215"/>
      <c r="W485" s="216"/>
      <c r="X485" s="215">
        <f t="shared" ref="X485:Z487" si="248">X486</f>
        <v>0</v>
      </c>
      <c r="Y485" s="216">
        <f t="shared" si="248"/>
        <v>0</v>
      </c>
      <c r="Z485" s="217">
        <f t="shared" si="248"/>
        <v>0</v>
      </c>
      <c r="AA485" s="216">
        <f t="shared" ref="AA485:AA487" si="249">AA486</f>
        <v>0</v>
      </c>
      <c r="AB485" s="216">
        <f t="shared" ref="AB485:AB487" si="250">AB486</f>
        <v>0</v>
      </c>
    </row>
    <row r="486" spans="1:28" s="2" customFormat="1" ht="51" x14ac:dyDescent="0.2">
      <c r="A486" s="362" t="s">
        <v>358</v>
      </c>
      <c r="B486" s="60" t="s">
        <v>109</v>
      </c>
      <c r="C486" s="58" t="s">
        <v>95</v>
      </c>
      <c r="D486" s="59" t="s">
        <v>69</v>
      </c>
      <c r="E486" s="103" t="s">
        <v>72</v>
      </c>
      <c r="F486" s="66" t="s">
        <v>135</v>
      </c>
      <c r="G486" s="66" t="s">
        <v>135</v>
      </c>
      <c r="H486" s="66" t="s">
        <v>135</v>
      </c>
      <c r="I486" s="72" t="s">
        <v>357</v>
      </c>
      <c r="J486" s="67" t="s">
        <v>135</v>
      </c>
      <c r="K486" s="372"/>
      <c r="L486" s="68"/>
      <c r="M486" s="69"/>
      <c r="N486" s="216"/>
      <c r="O486" s="216"/>
      <c r="P486" s="216">
        <f>P487</f>
        <v>0</v>
      </c>
      <c r="Q486" s="215"/>
      <c r="R486" s="216"/>
      <c r="S486" s="216">
        <f t="shared" si="247"/>
        <v>2416600</v>
      </c>
      <c r="T486" s="216">
        <f t="shared" si="247"/>
        <v>2416600</v>
      </c>
      <c r="U486" s="217">
        <f t="shared" si="247"/>
        <v>0</v>
      </c>
      <c r="V486" s="215"/>
      <c r="W486" s="216"/>
      <c r="X486" s="215">
        <f t="shared" si="248"/>
        <v>0</v>
      </c>
      <c r="Y486" s="216">
        <f t="shared" si="248"/>
        <v>0</v>
      </c>
      <c r="Z486" s="217">
        <f t="shared" si="248"/>
        <v>0</v>
      </c>
      <c r="AA486" s="216">
        <f t="shared" si="249"/>
        <v>0</v>
      </c>
      <c r="AB486" s="216">
        <f t="shared" si="250"/>
        <v>0</v>
      </c>
    </row>
    <row r="487" spans="1:28" s="2" customFormat="1" ht="25.5" x14ac:dyDescent="0.2">
      <c r="A487" s="362" t="s">
        <v>52</v>
      </c>
      <c r="B487" s="60" t="s">
        <v>109</v>
      </c>
      <c r="C487" s="58" t="s">
        <v>95</v>
      </c>
      <c r="D487" s="59" t="s">
        <v>69</v>
      </c>
      <c r="E487" s="103" t="s">
        <v>72</v>
      </c>
      <c r="F487" s="66" t="s">
        <v>135</v>
      </c>
      <c r="G487" s="66" t="s">
        <v>135</v>
      </c>
      <c r="H487" s="66" t="s">
        <v>135</v>
      </c>
      <c r="I487" s="72" t="s">
        <v>357</v>
      </c>
      <c r="J487" s="67" t="s">
        <v>135</v>
      </c>
      <c r="K487" s="372" t="s">
        <v>53</v>
      </c>
      <c r="L487" s="68"/>
      <c r="M487" s="69"/>
      <c r="N487" s="216"/>
      <c r="O487" s="216"/>
      <c r="P487" s="216">
        <f>P488</f>
        <v>0</v>
      </c>
      <c r="Q487" s="215"/>
      <c r="R487" s="216"/>
      <c r="S487" s="216">
        <f t="shared" si="247"/>
        <v>2416600</v>
      </c>
      <c r="T487" s="216">
        <f t="shared" si="247"/>
        <v>2416600</v>
      </c>
      <c r="U487" s="217">
        <f t="shared" si="247"/>
        <v>0</v>
      </c>
      <c r="V487" s="215"/>
      <c r="W487" s="216"/>
      <c r="X487" s="215">
        <f t="shared" si="248"/>
        <v>0</v>
      </c>
      <c r="Y487" s="216">
        <f t="shared" si="248"/>
        <v>0</v>
      </c>
      <c r="Z487" s="217">
        <f t="shared" si="248"/>
        <v>0</v>
      </c>
      <c r="AA487" s="216">
        <f t="shared" si="249"/>
        <v>0</v>
      </c>
      <c r="AB487" s="216">
        <f t="shared" si="250"/>
        <v>0</v>
      </c>
    </row>
    <row r="488" spans="1:28" s="2" customFormat="1" ht="25.5" x14ac:dyDescent="0.2">
      <c r="A488" s="362" t="s">
        <v>54</v>
      </c>
      <c r="B488" s="60" t="s">
        <v>109</v>
      </c>
      <c r="C488" s="58" t="s">
        <v>95</v>
      </c>
      <c r="D488" s="59" t="s">
        <v>69</v>
      </c>
      <c r="E488" s="103" t="s">
        <v>72</v>
      </c>
      <c r="F488" s="66" t="s">
        <v>135</v>
      </c>
      <c r="G488" s="66" t="s">
        <v>135</v>
      </c>
      <c r="H488" s="66" t="s">
        <v>135</v>
      </c>
      <c r="I488" s="72" t="s">
        <v>357</v>
      </c>
      <c r="J488" s="67" t="s">
        <v>135</v>
      </c>
      <c r="K488" s="372" t="s">
        <v>55</v>
      </c>
      <c r="L488" s="68"/>
      <c r="M488" s="69"/>
      <c r="N488" s="216"/>
      <c r="O488" s="216"/>
      <c r="P488" s="216">
        <v>0</v>
      </c>
      <c r="Q488" s="215"/>
      <c r="R488" s="216"/>
      <c r="S488" s="216">
        <v>2416600</v>
      </c>
      <c r="T488" s="216">
        <f>S488</f>
        <v>2416600</v>
      </c>
      <c r="U488" s="217">
        <v>0</v>
      </c>
      <c r="V488" s="215"/>
      <c r="W488" s="216"/>
      <c r="X488" s="215">
        <v>0</v>
      </c>
      <c r="Y488" s="216">
        <v>0</v>
      </c>
      <c r="Z488" s="217">
        <v>0</v>
      </c>
      <c r="AA488" s="216">
        <v>0</v>
      </c>
      <c r="AB488" s="216">
        <v>0</v>
      </c>
    </row>
    <row r="489" spans="1:28" s="2" customFormat="1" ht="33" customHeight="1" x14ac:dyDescent="0.2">
      <c r="A489" s="464" t="s">
        <v>364</v>
      </c>
      <c r="B489" s="60" t="s">
        <v>109</v>
      </c>
      <c r="C489" s="58" t="s">
        <v>95</v>
      </c>
      <c r="D489" s="59" t="s">
        <v>69</v>
      </c>
      <c r="E489" s="81" t="s">
        <v>184</v>
      </c>
      <c r="F489" s="81" t="s">
        <v>135</v>
      </c>
      <c r="G489" s="66" t="s">
        <v>135</v>
      </c>
      <c r="H489" s="66" t="s">
        <v>135</v>
      </c>
      <c r="I489" s="81" t="s">
        <v>136</v>
      </c>
      <c r="J489" s="67" t="s">
        <v>135</v>
      </c>
      <c r="K489" s="219"/>
      <c r="L489" s="68" t="e">
        <f>L493</f>
        <v>#REF!</v>
      </c>
      <c r="M489" s="69" t="e">
        <f>M493</f>
        <v>#REF!</v>
      </c>
      <c r="N489" s="216">
        <f>N493+N490</f>
        <v>0</v>
      </c>
      <c r="O489" s="216">
        <f>O493+O490</f>
        <v>0</v>
      </c>
      <c r="P489" s="216">
        <f>P493+P490+P496</f>
        <v>325000</v>
      </c>
      <c r="Q489" s="216">
        <f t="shared" ref="Q489:AB489" si="251">Q493+Q490+Q496</f>
        <v>809560.09</v>
      </c>
      <c r="R489" s="216">
        <f t="shared" si="251"/>
        <v>0</v>
      </c>
      <c r="S489" s="216">
        <f t="shared" si="251"/>
        <v>65523.6</v>
      </c>
      <c r="T489" s="216">
        <f t="shared" si="251"/>
        <v>390523.6</v>
      </c>
      <c r="U489" s="217">
        <f t="shared" si="251"/>
        <v>809560.09</v>
      </c>
      <c r="V489" s="216">
        <f t="shared" si="251"/>
        <v>820560.09</v>
      </c>
      <c r="W489" s="216">
        <f t="shared" si="251"/>
        <v>0</v>
      </c>
      <c r="X489" s="215">
        <f t="shared" si="251"/>
        <v>0</v>
      </c>
      <c r="Y489" s="216">
        <f t="shared" si="251"/>
        <v>809560.09</v>
      </c>
      <c r="Z489" s="217">
        <f t="shared" si="251"/>
        <v>820560.09</v>
      </c>
      <c r="AA489" s="216">
        <f t="shared" si="251"/>
        <v>0</v>
      </c>
      <c r="AB489" s="216">
        <f t="shared" si="251"/>
        <v>820560.09</v>
      </c>
    </row>
    <row r="490" spans="1:28" s="2" customFormat="1" ht="33" hidden="1" customHeight="1" x14ac:dyDescent="0.2">
      <c r="A490" s="469" t="s">
        <v>176</v>
      </c>
      <c r="B490" s="60" t="s">
        <v>109</v>
      </c>
      <c r="C490" s="59" t="s">
        <v>95</v>
      </c>
      <c r="D490" s="58" t="s">
        <v>69</v>
      </c>
      <c r="E490" s="103" t="s">
        <v>184</v>
      </c>
      <c r="F490" s="66" t="s">
        <v>135</v>
      </c>
      <c r="G490" s="66" t="s">
        <v>135</v>
      </c>
      <c r="H490" s="66" t="s">
        <v>135</v>
      </c>
      <c r="I490" s="66" t="s">
        <v>175</v>
      </c>
      <c r="J490" s="67" t="s">
        <v>135</v>
      </c>
      <c r="K490" s="214"/>
      <c r="L490" s="68"/>
      <c r="M490" s="69"/>
      <c r="N490" s="216">
        <f t="shared" ref="N490:AB491" si="252">N491</f>
        <v>0</v>
      </c>
      <c r="O490" s="217">
        <f t="shared" si="252"/>
        <v>0</v>
      </c>
      <c r="P490" s="216">
        <f t="shared" si="252"/>
        <v>0</v>
      </c>
      <c r="Q490" s="68">
        <f t="shared" si="252"/>
        <v>0</v>
      </c>
      <c r="R490" s="216">
        <f t="shared" si="252"/>
        <v>0</v>
      </c>
      <c r="S490" s="216">
        <f t="shared" si="252"/>
        <v>0</v>
      </c>
      <c r="T490" s="216">
        <f t="shared" si="252"/>
        <v>0</v>
      </c>
      <c r="U490" s="68">
        <f t="shared" si="252"/>
        <v>0</v>
      </c>
      <c r="V490" s="216">
        <f t="shared" si="252"/>
        <v>0</v>
      </c>
      <c r="W490" s="215">
        <f t="shared" si="252"/>
        <v>0</v>
      </c>
      <c r="X490" s="215">
        <f t="shared" si="252"/>
        <v>0</v>
      </c>
      <c r="Y490" s="216">
        <f t="shared" si="252"/>
        <v>0</v>
      </c>
      <c r="Z490" s="217">
        <f t="shared" si="252"/>
        <v>0</v>
      </c>
      <c r="AA490" s="216">
        <f t="shared" si="252"/>
        <v>0</v>
      </c>
      <c r="AB490" s="216">
        <f t="shared" si="252"/>
        <v>0</v>
      </c>
    </row>
    <row r="491" spans="1:28" s="2" customFormat="1" ht="33" hidden="1" customHeight="1" x14ac:dyDescent="0.2">
      <c r="A491" s="363" t="s">
        <v>187</v>
      </c>
      <c r="B491" s="60" t="s">
        <v>109</v>
      </c>
      <c r="C491" s="59" t="s">
        <v>95</v>
      </c>
      <c r="D491" s="58" t="s">
        <v>69</v>
      </c>
      <c r="E491" s="103" t="s">
        <v>184</v>
      </c>
      <c r="F491" s="66" t="s">
        <v>135</v>
      </c>
      <c r="G491" s="66" t="s">
        <v>135</v>
      </c>
      <c r="H491" s="66" t="s">
        <v>135</v>
      </c>
      <c r="I491" s="66" t="s">
        <v>175</v>
      </c>
      <c r="J491" s="67" t="s">
        <v>135</v>
      </c>
      <c r="K491" s="214" t="s">
        <v>160</v>
      </c>
      <c r="L491" s="68"/>
      <c r="M491" s="69"/>
      <c r="N491" s="216">
        <f t="shared" si="252"/>
        <v>0</v>
      </c>
      <c r="O491" s="217">
        <f t="shared" si="252"/>
        <v>0</v>
      </c>
      <c r="P491" s="216">
        <f t="shared" si="252"/>
        <v>0</v>
      </c>
      <c r="Q491" s="68">
        <f t="shared" si="252"/>
        <v>0</v>
      </c>
      <c r="R491" s="216">
        <f t="shared" si="252"/>
        <v>0</v>
      </c>
      <c r="S491" s="216">
        <f t="shared" si="252"/>
        <v>0</v>
      </c>
      <c r="T491" s="216">
        <f t="shared" si="252"/>
        <v>0</v>
      </c>
      <c r="U491" s="68">
        <f t="shared" si="252"/>
        <v>0</v>
      </c>
      <c r="V491" s="216">
        <f t="shared" si="252"/>
        <v>0</v>
      </c>
      <c r="W491" s="215">
        <f t="shared" si="252"/>
        <v>0</v>
      </c>
      <c r="X491" s="215">
        <f t="shared" si="252"/>
        <v>0</v>
      </c>
      <c r="Y491" s="216">
        <f t="shared" si="252"/>
        <v>0</v>
      </c>
      <c r="Z491" s="217">
        <f t="shared" si="252"/>
        <v>0</v>
      </c>
      <c r="AA491" s="216">
        <f t="shared" si="252"/>
        <v>0</v>
      </c>
      <c r="AB491" s="216">
        <f t="shared" si="252"/>
        <v>0</v>
      </c>
    </row>
    <row r="492" spans="1:28" s="2" customFormat="1" ht="33" hidden="1" customHeight="1" x14ac:dyDescent="0.2">
      <c r="A492" s="364" t="s">
        <v>162</v>
      </c>
      <c r="B492" s="60" t="s">
        <v>109</v>
      </c>
      <c r="C492" s="59" t="s">
        <v>95</v>
      </c>
      <c r="D492" s="58" t="s">
        <v>69</v>
      </c>
      <c r="E492" s="103" t="s">
        <v>184</v>
      </c>
      <c r="F492" s="66" t="s">
        <v>135</v>
      </c>
      <c r="G492" s="66" t="s">
        <v>135</v>
      </c>
      <c r="H492" s="66" t="s">
        <v>135</v>
      </c>
      <c r="I492" s="66" t="s">
        <v>175</v>
      </c>
      <c r="J492" s="67" t="s">
        <v>135</v>
      </c>
      <c r="K492" s="214" t="s">
        <v>161</v>
      </c>
      <c r="L492" s="68"/>
      <c r="M492" s="69"/>
      <c r="N492" s="216">
        <v>0</v>
      </c>
      <c r="O492" s="217">
        <v>0</v>
      </c>
      <c r="P492" s="216">
        <v>0</v>
      </c>
      <c r="Q492" s="68">
        <v>0</v>
      </c>
      <c r="R492" s="216">
        <v>0</v>
      </c>
      <c r="S492" s="216">
        <v>0</v>
      </c>
      <c r="T492" s="216">
        <v>0</v>
      </c>
      <c r="U492" s="68">
        <v>0</v>
      </c>
      <c r="V492" s="216">
        <v>0</v>
      </c>
      <c r="W492" s="215">
        <v>0</v>
      </c>
      <c r="X492" s="215">
        <v>0</v>
      </c>
      <c r="Y492" s="216">
        <v>0</v>
      </c>
      <c r="Z492" s="217">
        <v>0</v>
      </c>
      <c r="AA492" s="216">
        <v>0</v>
      </c>
      <c r="AB492" s="216">
        <v>0</v>
      </c>
    </row>
    <row r="493" spans="1:28" s="2" customFormat="1" ht="22.5" customHeight="1" x14ac:dyDescent="0.2">
      <c r="A493" s="362" t="s">
        <v>49</v>
      </c>
      <c r="B493" s="60" t="s">
        <v>109</v>
      </c>
      <c r="C493" s="58" t="s">
        <v>95</v>
      </c>
      <c r="D493" s="59" t="s">
        <v>69</v>
      </c>
      <c r="E493" s="66" t="s">
        <v>184</v>
      </c>
      <c r="F493" s="66" t="s">
        <v>135</v>
      </c>
      <c r="G493" s="66" t="s">
        <v>135</v>
      </c>
      <c r="H493" s="66" t="s">
        <v>135</v>
      </c>
      <c r="I493" s="66" t="s">
        <v>18</v>
      </c>
      <c r="J493" s="67" t="s">
        <v>135</v>
      </c>
      <c r="K493" s="214"/>
      <c r="L493" s="68" t="e">
        <f>L494+#REF!</f>
        <v>#REF!</v>
      </c>
      <c r="M493" s="69" t="e">
        <f>M494+#REF!</f>
        <v>#REF!</v>
      </c>
      <c r="N493" s="216">
        <f t="shared" ref="N493:AB494" si="253">N494</f>
        <v>0</v>
      </c>
      <c r="O493" s="217">
        <f t="shared" si="253"/>
        <v>0</v>
      </c>
      <c r="P493" s="216">
        <f t="shared" si="253"/>
        <v>0</v>
      </c>
      <c r="Q493" s="68">
        <f t="shared" si="253"/>
        <v>809560.09</v>
      </c>
      <c r="R493" s="216">
        <f t="shared" si="253"/>
        <v>0</v>
      </c>
      <c r="S493" s="216">
        <f t="shared" si="253"/>
        <v>65523.6</v>
      </c>
      <c r="T493" s="216">
        <f t="shared" si="253"/>
        <v>65523.6</v>
      </c>
      <c r="U493" s="68">
        <f t="shared" si="253"/>
        <v>809560.09</v>
      </c>
      <c r="V493" s="216">
        <f t="shared" si="253"/>
        <v>820560.09</v>
      </c>
      <c r="W493" s="215">
        <f t="shared" si="253"/>
        <v>0</v>
      </c>
      <c r="X493" s="215">
        <f t="shared" si="253"/>
        <v>0</v>
      </c>
      <c r="Y493" s="216">
        <f t="shared" si="253"/>
        <v>809560.09</v>
      </c>
      <c r="Z493" s="217">
        <f t="shared" si="253"/>
        <v>820560.09</v>
      </c>
      <c r="AA493" s="216">
        <f t="shared" si="253"/>
        <v>0</v>
      </c>
      <c r="AB493" s="216">
        <f t="shared" si="253"/>
        <v>820560.09</v>
      </c>
    </row>
    <row r="494" spans="1:28" s="2" customFormat="1" ht="25.5" x14ac:dyDescent="0.2">
      <c r="A494" s="362" t="s">
        <v>52</v>
      </c>
      <c r="B494" s="60" t="s">
        <v>109</v>
      </c>
      <c r="C494" s="58" t="s">
        <v>95</v>
      </c>
      <c r="D494" s="59" t="s">
        <v>69</v>
      </c>
      <c r="E494" s="66" t="s">
        <v>184</v>
      </c>
      <c r="F494" s="66" t="s">
        <v>135</v>
      </c>
      <c r="G494" s="66" t="s">
        <v>135</v>
      </c>
      <c r="H494" s="66" t="s">
        <v>135</v>
      </c>
      <c r="I494" s="66" t="s">
        <v>18</v>
      </c>
      <c r="J494" s="67" t="s">
        <v>135</v>
      </c>
      <c r="K494" s="214" t="s">
        <v>53</v>
      </c>
      <c r="L494" s="68">
        <f>L495</f>
        <v>640872</v>
      </c>
      <c r="M494" s="69">
        <f>M495</f>
        <v>0</v>
      </c>
      <c r="N494" s="216">
        <f t="shared" si="253"/>
        <v>0</v>
      </c>
      <c r="O494" s="217">
        <f t="shared" si="253"/>
        <v>0</v>
      </c>
      <c r="P494" s="216">
        <f t="shared" si="253"/>
        <v>0</v>
      </c>
      <c r="Q494" s="68">
        <f t="shared" si="253"/>
        <v>809560.09</v>
      </c>
      <c r="R494" s="216">
        <f t="shared" si="253"/>
        <v>0</v>
      </c>
      <c r="S494" s="216">
        <f t="shared" si="253"/>
        <v>65523.6</v>
      </c>
      <c r="T494" s="216">
        <f t="shared" si="253"/>
        <v>65523.6</v>
      </c>
      <c r="U494" s="68">
        <f t="shared" si="253"/>
        <v>809560.09</v>
      </c>
      <c r="V494" s="216">
        <f t="shared" si="253"/>
        <v>820560.09</v>
      </c>
      <c r="W494" s="215">
        <f t="shared" si="253"/>
        <v>0</v>
      </c>
      <c r="X494" s="215">
        <f t="shared" si="253"/>
        <v>0</v>
      </c>
      <c r="Y494" s="216">
        <f t="shared" si="253"/>
        <v>809560.09</v>
      </c>
      <c r="Z494" s="217">
        <f t="shared" si="253"/>
        <v>820560.09</v>
      </c>
      <c r="AA494" s="216">
        <f t="shared" si="253"/>
        <v>0</v>
      </c>
      <c r="AB494" s="216">
        <f t="shared" si="253"/>
        <v>820560.09</v>
      </c>
    </row>
    <row r="495" spans="1:28" s="2" customFormat="1" ht="25.5" x14ac:dyDescent="0.2">
      <c r="A495" s="362" t="s">
        <v>54</v>
      </c>
      <c r="B495" s="60" t="s">
        <v>109</v>
      </c>
      <c r="C495" s="58" t="s">
        <v>95</v>
      </c>
      <c r="D495" s="59" t="s">
        <v>69</v>
      </c>
      <c r="E495" s="66" t="s">
        <v>184</v>
      </c>
      <c r="F495" s="66" t="s">
        <v>135</v>
      </c>
      <c r="G495" s="66" t="s">
        <v>135</v>
      </c>
      <c r="H495" s="66" t="s">
        <v>135</v>
      </c>
      <c r="I495" s="66" t="s">
        <v>18</v>
      </c>
      <c r="J495" s="67" t="s">
        <v>135</v>
      </c>
      <c r="K495" s="309" t="s">
        <v>55</v>
      </c>
      <c r="L495" s="68">
        <v>640872</v>
      </c>
      <c r="M495" s="69">
        <v>0</v>
      </c>
      <c r="N495" s="216">
        <v>0</v>
      </c>
      <c r="O495" s="216">
        <v>0</v>
      </c>
      <c r="P495" s="216">
        <v>0</v>
      </c>
      <c r="Q495" s="68">
        <v>809560.09</v>
      </c>
      <c r="R495" s="216">
        <v>0</v>
      </c>
      <c r="S495" s="216">
        <v>65523.6</v>
      </c>
      <c r="T495" s="216">
        <f>S495</f>
        <v>65523.6</v>
      </c>
      <c r="U495" s="68">
        <v>809560.09</v>
      </c>
      <c r="V495" s="216">
        <v>820560.09</v>
      </c>
      <c r="W495" s="215">
        <v>0</v>
      </c>
      <c r="X495" s="215">
        <v>0</v>
      </c>
      <c r="Y495" s="216">
        <v>809560.09</v>
      </c>
      <c r="Z495" s="217">
        <v>820560.09</v>
      </c>
      <c r="AA495" s="216">
        <v>0</v>
      </c>
      <c r="AB495" s="216">
        <v>820560.09</v>
      </c>
    </row>
    <row r="496" spans="1:28" s="2" customFormat="1" ht="38.25" x14ac:dyDescent="0.2">
      <c r="A496" s="469" t="s">
        <v>347</v>
      </c>
      <c r="B496" s="60" t="s">
        <v>109</v>
      </c>
      <c r="C496" s="59" t="s">
        <v>95</v>
      </c>
      <c r="D496" s="58" t="s">
        <v>69</v>
      </c>
      <c r="E496" s="103" t="s">
        <v>184</v>
      </c>
      <c r="F496" s="66" t="s">
        <v>135</v>
      </c>
      <c r="G496" s="66" t="s">
        <v>135</v>
      </c>
      <c r="H496" s="66" t="s">
        <v>135</v>
      </c>
      <c r="I496" s="66" t="s">
        <v>389</v>
      </c>
      <c r="J496" s="67" t="s">
        <v>135</v>
      </c>
      <c r="K496" s="214"/>
      <c r="L496" s="68"/>
      <c r="M496" s="69"/>
      <c r="N496" s="216">
        <f>N499</f>
        <v>0</v>
      </c>
      <c r="O496" s="216">
        <f>O499</f>
        <v>184116316</v>
      </c>
      <c r="P496" s="216">
        <f>P497</f>
        <v>325000</v>
      </c>
      <c r="Q496" s="216">
        <f t="shared" ref="Q496:AB496" si="254">Q497</f>
        <v>0</v>
      </c>
      <c r="R496" s="216">
        <f t="shared" si="254"/>
        <v>0</v>
      </c>
      <c r="S496" s="216">
        <f t="shared" si="254"/>
        <v>0</v>
      </c>
      <c r="T496" s="216">
        <f t="shared" si="254"/>
        <v>325000</v>
      </c>
      <c r="U496" s="217">
        <f t="shared" si="254"/>
        <v>0</v>
      </c>
      <c r="V496" s="216">
        <f t="shared" si="254"/>
        <v>0</v>
      </c>
      <c r="W496" s="216">
        <f t="shared" si="254"/>
        <v>0</v>
      </c>
      <c r="X496" s="215">
        <f t="shared" si="254"/>
        <v>0</v>
      </c>
      <c r="Y496" s="216">
        <f t="shared" si="254"/>
        <v>0</v>
      </c>
      <c r="Z496" s="217">
        <f t="shared" si="254"/>
        <v>0</v>
      </c>
      <c r="AA496" s="216">
        <f t="shared" si="254"/>
        <v>0</v>
      </c>
      <c r="AB496" s="216">
        <f t="shared" si="254"/>
        <v>0</v>
      </c>
    </row>
    <row r="497" spans="1:28" s="2" customFormat="1" ht="25.5" x14ac:dyDescent="0.2">
      <c r="A497" s="362" t="s">
        <v>52</v>
      </c>
      <c r="B497" s="60" t="s">
        <v>109</v>
      </c>
      <c r="C497" s="59" t="s">
        <v>95</v>
      </c>
      <c r="D497" s="58" t="s">
        <v>69</v>
      </c>
      <c r="E497" s="103" t="s">
        <v>184</v>
      </c>
      <c r="F497" s="66" t="s">
        <v>135</v>
      </c>
      <c r="G497" s="66" t="s">
        <v>135</v>
      </c>
      <c r="H497" s="66" t="s">
        <v>135</v>
      </c>
      <c r="I497" s="66" t="s">
        <v>389</v>
      </c>
      <c r="J497" s="67" t="s">
        <v>135</v>
      </c>
      <c r="K497" s="214" t="s">
        <v>53</v>
      </c>
      <c r="L497" s="68"/>
      <c r="M497" s="69"/>
      <c r="N497" s="216"/>
      <c r="O497" s="216"/>
      <c r="P497" s="216">
        <f>P498</f>
        <v>325000</v>
      </c>
      <c r="Q497" s="216"/>
      <c r="R497" s="216"/>
      <c r="S497" s="216">
        <f>S498</f>
        <v>0</v>
      </c>
      <c r="T497" s="216">
        <f>T498</f>
        <v>325000</v>
      </c>
      <c r="U497" s="217">
        <f>U498</f>
        <v>0</v>
      </c>
      <c r="V497" s="216"/>
      <c r="W497" s="215"/>
      <c r="X497" s="215">
        <f>X498</f>
        <v>0</v>
      </c>
      <c r="Y497" s="216">
        <f>Y498</f>
        <v>0</v>
      </c>
      <c r="Z497" s="217">
        <f>Z498</f>
        <v>0</v>
      </c>
      <c r="AA497" s="217">
        <f>AA498</f>
        <v>0</v>
      </c>
      <c r="AB497" s="216">
        <f>AB498</f>
        <v>0</v>
      </c>
    </row>
    <row r="498" spans="1:28" s="2" customFormat="1" ht="25.5" x14ac:dyDescent="0.2">
      <c r="A498" s="212" t="s">
        <v>54</v>
      </c>
      <c r="B498" s="60" t="s">
        <v>109</v>
      </c>
      <c r="C498" s="59" t="s">
        <v>95</v>
      </c>
      <c r="D498" s="60" t="s">
        <v>69</v>
      </c>
      <c r="E498" s="103" t="s">
        <v>184</v>
      </c>
      <c r="F498" s="66" t="s">
        <v>135</v>
      </c>
      <c r="G498" s="66" t="s">
        <v>135</v>
      </c>
      <c r="H498" s="66" t="s">
        <v>135</v>
      </c>
      <c r="I498" s="66" t="s">
        <v>389</v>
      </c>
      <c r="J498" s="67" t="s">
        <v>135</v>
      </c>
      <c r="K498" s="214" t="s">
        <v>55</v>
      </c>
      <c r="L498" s="68"/>
      <c r="M498" s="69"/>
      <c r="N498" s="216"/>
      <c r="O498" s="216"/>
      <c r="P498" s="216">
        <v>325000</v>
      </c>
      <c r="Q498" s="216"/>
      <c r="R498" s="216"/>
      <c r="S498" s="216">
        <v>0</v>
      </c>
      <c r="T498" s="216">
        <f>P498</f>
        <v>325000</v>
      </c>
      <c r="U498" s="217">
        <v>0</v>
      </c>
      <c r="V498" s="216"/>
      <c r="W498" s="215"/>
      <c r="X498" s="215">
        <v>0</v>
      </c>
      <c r="Y498" s="216">
        <v>0</v>
      </c>
      <c r="Z498" s="217">
        <v>0</v>
      </c>
      <c r="AA498" s="216">
        <v>0</v>
      </c>
      <c r="AB498" s="217">
        <v>0</v>
      </c>
    </row>
    <row r="499" spans="1:28" s="2" customFormat="1" x14ac:dyDescent="0.2">
      <c r="A499" s="485" t="s">
        <v>387</v>
      </c>
      <c r="B499" s="60" t="s">
        <v>109</v>
      </c>
      <c r="C499" s="58" t="s">
        <v>95</v>
      </c>
      <c r="D499" s="59" t="s">
        <v>76</v>
      </c>
      <c r="E499" s="60"/>
      <c r="F499" s="60"/>
      <c r="G499" s="66"/>
      <c r="H499" s="66"/>
      <c r="I499" s="60"/>
      <c r="J499" s="76"/>
      <c r="K499" s="246"/>
      <c r="L499" s="68"/>
      <c r="M499" s="69"/>
      <c r="N499" s="216">
        <f t="shared" ref="N499:O507" si="255">N500</f>
        <v>0</v>
      </c>
      <c r="O499" s="216">
        <f t="shared" si="255"/>
        <v>184116316</v>
      </c>
      <c r="P499" s="216">
        <f t="shared" ref="P499:AB507" si="256">P500</f>
        <v>188424636</v>
      </c>
      <c r="Q499" s="216">
        <f t="shared" si="256"/>
        <v>0</v>
      </c>
      <c r="R499" s="216">
        <f t="shared" si="256"/>
        <v>0</v>
      </c>
      <c r="S499" s="216">
        <f t="shared" si="256"/>
        <v>1558277</v>
      </c>
      <c r="T499" s="216">
        <f t="shared" si="256"/>
        <v>189982913</v>
      </c>
      <c r="U499" s="217">
        <f t="shared" si="256"/>
        <v>0</v>
      </c>
      <c r="V499" s="216">
        <f t="shared" si="256"/>
        <v>0</v>
      </c>
      <c r="W499" s="215">
        <f t="shared" si="256"/>
        <v>0</v>
      </c>
      <c r="X499" s="215">
        <f t="shared" si="256"/>
        <v>0</v>
      </c>
      <c r="Y499" s="216">
        <f t="shared" si="256"/>
        <v>0</v>
      </c>
      <c r="Z499" s="217">
        <f t="shared" si="256"/>
        <v>0</v>
      </c>
      <c r="AA499" s="216">
        <f t="shared" si="256"/>
        <v>0</v>
      </c>
      <c r="AB499" s="216">
        <f t="shared" si="256"/>
        <v>0</v>
      </c>
    </row>
    <row r="500" spans="1:28" s="2" customFormat="1" x14ac:dyDescent="0.2">
      <c r="A500" s="464" t="s">
        <v>364</v>
      </c>
      <c r="B500" s="60" t="s">
        <v>109</v>
      </c>
      <c r="C500" s="58" t="s">
        <v>95</v>
      </c>
      <c r="D500" s="59" t="s">
        <v>76</v>
      </c>
      <c r="E500" s="81" t="s">
        <v>184</v>
      </c>
      <c r="F500" s="81" t="s">
        <v>135</v>
      </c>
      <c r="G500" s="66" t="s">
        <v>135</v>
      </c>
      <c r="H500" s="66" t="s">
        <v>135</v>
      </c>
      <c r="I500" s="81" t="s">
        <v>136</v>
      </c>
      <c r="J500" s="67" t="s">
        <v>135</v>
      </c>
      <c r="K500" s="219"/>
      <c r="L500" s="68"/>
      <c r="M500" s="69"/>
      <c r="N500" s="216">
        <f t="shared" si="255"/>
        <v>0</v>
      </c>
      <c r="O500" s="216">
        <f t="shared" si="255"/>
        <v>184116316</v>
      </c>
      <c r="P500" s="216">
        <f>P501+P507</f>
        <v>188424636</v>
      </c>
      <c r="Q500" s="216">
        <f>Q501+Q507</f>
        <v>0</v>
      </c>
      <c r="R500" s="216">
        <f>R501+R507</f>
        <v>0</v>
      </c>
      <c r="S500" s="216">
        <f>S501+S507</f>
        <v>1558277</v>
      </c>
      <c r="T500" s="216">
        <f>T501+T507</f>
        <v>189982913</v>
      </c>
      <c r="U500" s="217">
        <f t="shared" si="256"/>
        <v>0</v>
      </c>
      <c r="V500" s="216">
        <f t="shared" si="256"/>
        <v>0</v>
      </c>
      <c r="W500" s="215">
        <f t="shared" si="256"/>
        <v>0</v>
      </c>
      <c r="X500" s="215">
        <f t="shared" si="256"/>
        <v>0</v>
      </c>
      <c r="Y500" s="216">
        <f t="shared" si="256"/>
        <v>0</v>
      </c>
      <c r="Z500" s="217">
        <f t="shared" si="256"/>
        <v>0</v>
      </c>
      <c r="AA500" s="216">
        <f t="shared" si="256"/>
        <v>0</v>
      </c>
      <c r="AB500" s="216">
        <f t="shared" si="256"/>
        <v>0</v>
      </c>
    </row>
    <row r="501" spans="1:28" s="2" customFormat="1" ht="51" x14ac:dyDescent="0.2">
      <c r="A501" s="469" t="s">
        <v>393</v>
      </c>
      <c r="B501" s="60" t="s">
        <v>109</v>
      </c>
      <c r="C501" s="59" t="s">
        <v>95</v>
      </c>
      <c r="D501" s="58" t="s">
        <v>76</v>
      </c>
      <c r="E501" s="103" t="s">
        <v>184</v>
      </c>
      <c r="F501" s="66" t="s">
        <v>135</v>
      </c>
      <c r="G501" s="66" t="s">
        <v>135</v>
      </c>
      <c r="H501" s="66" t="s">
        <v>135</v>
      </c>
      <c r="I501" s="66" t="s">
        <v>211</v>
      </c>
      <c r="J501" s="67" t="s">
        <v>133</v>
      </c>
      <c r="K501" s="214"/>
      <c r="L501" s="68"/>
      <c r="M501" s="69"/>
      <c r="N501" s="216">
        <f t="shared" si="255"/>
        <v>0</v>
      </c>
      <c r="O501" s="216">
        <f t="shared" si="255"/>
        <v>184116316</v>
      </c>
      <c r="P501" s="216">
        <f t="shared" si="256"/>
        <v>184116316</v>
      </c>
      <c r="Q501" s="216">
        <f t="shared" si="256"/>
        <v>0</v>
      </c>
      <c r="R501" s="216">
        <f t="shared" si="256"/>
        <v>0</v>
      </c>
      <c r="S501" s="216">
        <f t="shared" si="256"/>
        <v>0</v>
      </c>
      <c r="T501" s="216">
        <f t="shared" si="256"/>
        <v>184116316</v>
      </c>
      <c r="U501" s="217">
        <f t="shared" si="256"/>
        <v>0</v>
      </c>
      <c r="V501" s="216">
        <f t="shared" si="256"/>
        <v>0</v>
      </c>
      <c r="W501" s="215">
        <f t="shared" si="256"/>
        <v>0</v>
      </c>
      <c r="X501" s="215">
        <f t="shared" si="256"/>
        <v>0</v>
      </c>
      <c r="Y501" s="216">
        <f t="shared" si="256"/>
        <v>0</v>
      </c>
      <c r="Z501" s="217">
        <f t="shared" si="256"/>
        <v>0</v>
      </c>
      <c r="AA501" s="216">
        <f t="shared" si="256"/>
        <v>0</v>
      </c>
      <c r="AB501" s="216">
        <f t="shared" si="256"/>
        <v>0</v>
      </c>
    </row>
    <row r="502" spans="1:28" s="2" customFormat="1" ht="25.5" x14ac:dyDescent="0.2">
      <c r="A502" s="363" t="s">
        <v>187</v>
      </c>
      <c r="B502" s="60" t="s">
        <v>109</v>
      </c>
      <c r="C502" s="59" t="s">
        <v>95</v>
      </c>
      <c r="D502" s="58" t="s">
        <v>76</v>
      </c>
      <c r="E502" s="103" t="s">
        <v>184</v>
      </c>
      <c r="F502" s="66" t="s">
        <v>135</v>
      </c>
      <c r="G502" s="66" t="s">
        <v>135</v>
      </c>
      <c r="H502" s="66" t="s">
        <v>135</v>
      </c>
      <c r="I502" s="66" t="s">
        <v>211</v>
      </c>
      <c r="J502" s="67" t="s">
        <v>133</v>
      </c>
      <c r="K502" s="214" t="s">
        <v>160</v>
      </c>
      <c r="L502" s="68"/>
      <c r="M502" s="69"/>
      <c r="N502" s="216">
        <f t="shared" si="255"/>
        <v>0</v>
      </c>
      <c r="O502" s="216">
        <f t="shared" si="255"/>
        <v>184116316</v>
      </c>
      <c r="P502" s="216">
        <f t="shared" si="256"/>
        <v>184116316</v>
      </c>
      <c r="Q502" s="216">
        <f t="shared" si="256"/>
        <v>0</v>
      </c>
      <c r="R502" s="216">
        <f t="shared" si="256"/>
        <v>0</v>
      </c>
      <c r="S502" s="216">
        <f t="shared" si="256"/>
        <v>0</v>
      </c>
      <c r="T502" s="216">
        <f t="shared" si="256"/>
        <v>184116316</v>
      </c>
      <c r="U502" s="217">
        <f t="shared" si="256"/>
        <v>0</v>
      </c>
      <c r="V502" s="216">
        <f t="shared" si="256"/>
        <v>0</v>
      </c>
      <c r="W502" s="215">
        <f t="shared" si="256"/>
        <v>0</v>
      </c>
      <c r="X502" s="215">
        <f t="shared" si="256"/>
        <v>0</v>
      </c>
      <c r="Y502" s="216">
        <f t="shared" si="256"/>
        <v>0</v>
      </c>
      <c r="Z502" s="217">
        <f t="shared" si="256"/>
        <v>0</v>
      </c>
      <c r="AA502" s="216">
        <f t="shared" si="256"/>
        <v>0</v>
      </c>
      <c r="AB502" s="216">
        <f t="shared" si="256"/>
        <v>0</v>
      </c>
    </row>
    <row r="503" spans="1:28" s="2" customFormat="1" x14ac:dyDescent="0.2">
      <c r="A503" s="364" t="s">
        <v>162</v>
      </c>
      <c r="B503" s="60" t="s">
        <v>109</v>
      </c>
      <c r="C503" s="59" t="s">
        <v>95</v>
      </c>
      <c r="D503" s="58" t="s">
        <v>76</v>
      </c>
      <c r="E503" s="103" t="s">
        <v>184</v>
      </c>
      <c r="F503" s="66" t="s">
        <v>135</v>
      </c>
      <c r="G503" s="66" t="s">
        <v>135</v>
      </c>
      <c r="H503" s="66" t="s">
        <v>135</v>
      </c>
      <c r="I503" s="66" t="s">
        <v>211</v>
      </c>
      <c r="J503" s="67" t="s">
        <v>133</v>
      </c>
      <c r="K503" s="214" t="s">
        <v>161</v>
      </c>
      <c r="L503" s="68"/>
      <c r="M503" s="69"/>
      <c r="N503" s="216">
        <v>0</v>
      </c>
      <c r="O503" s="216">
        <f>182281920+1834396</f>
        <v>184116316</v>
      </c>
      <c r="P503" s="216">
        <f>O503</f>
        <v>184116316</v>
      </c>
      <c r="Q503" s="216">
        <v>0</v>
      </c>
      <c r="R503" s="216">
        <v>0</v>
      </c>
      <c r="S503" s="216">
        <f>R503</f>
        <v>0</v>
      </c>
      <c r="T503" s="216">
        <v>184116316</v>
      </c>
      <c r="U503" s="217">
        <v>0</v>
      </c>
      <c r="V503" s="216">
        <v>0</v>
      </c>
      <c r="W503" s="215">
        <v>0</v>
      </c>
      <c r="X503" s="215">
        <v>0</v>
      </c>
      <c r="Y503" s="216">
        <v>0</v>
      </c>
      <c r="Z503" s="217">
        <v>0</v>
      </c>
      <c r="AA503" s="216">
        <v>0</v>
      </c>
      <c r="AB503" s="216">
        <v>0</v>
      </c>
    </row>
    <row r="504" spans="1:28" s="2" customFormat="1" ht="38.25" x14ac:dyDescent="0.2">
      <c r="A504" s="469" t="s">
        <v>347</v>
      </c>
      <c r="B504" s="60" t="s">
        <v>109</v>
      </c>
      <c r="C504" s="59" t="s">
        <v>95</v>
      </c>
      <c r="D504" s="58" t="s">
        <v>76</v>
      </c>
      <c r="E504" s="103" t="s">
        <v>184</v>
      </c>
      <c r="F504" s="66" t="s">
        <v>135</v>
      </c>
      <c r="G504" s="66" t="s">
        <v>135</v>
      </c>
      <c r="H504" s="66" t="s">
        <v>135</v>
      </c>
      <c r="I504" s="66" t="s">
        <v>389</v>
      </c>
      <c r="J504" s="67" t="s">
        <v>135</v>
      </c>
      <c r="K504" s="214"/>
      <c r="L504" s="68"/>
      <c r="M504" s="69"/>
      <c r="N504" s="216">
        <f>N507</f>
        <v>0</v>
      </c>
      <c r="O504" s="216">
        <f>O507</f>
        <v>184116316</v>
      </c>
      <c r="P504" s="216">
        <f>P507+P505</f>
        <v>4308320</v>
      </c>
      <c r="Q504" s="216">
        <f t="shared" ref="Q504:AB504" si="257">Q507+Q505</f>
        <v>0</v>
      </c>
      <c r="R504" s="216">
        <f t="shared" si="257"/>
        <v>0</v>
      </c>
      <c r="S504" s="216">
        <f t="shared" si="257"/>
        <v>1558277</v>
      </c>
      <c r="T504" s="216">
        <f t="shared" si="257"/>
        <v>5866597</v>
      </c>
      <c r="U504" s="217">
        <f t="shared" si="257"/>
        <v>0</v>
      </c>
      <c r="V504" s="216">
        <f t="shared" si="257"/>
        <v>0</v>
      </c>
      <c r="W504" s="216">
        <f t="shared" si="257"/>
        <v>0</v>
      </c>
      <c r="X504" s="215">
        <f t="shared" si="257"/>
        <v>0</v>
      </c>
      <c r="Y504" s="216">
        <f t="shared" si="257"/>
        <v>0</v>
      </c>
      <c r="Z504" s="217">
        <f t="shared" si="257"/>
        <v>0</v>
      </c>
      <c r="AA504" s="217">
        <f t="shared" si="257"/>
        <v>0</v>
      </c>
      <c r="AB504" s="216">
        <f t="shared" si="257"/>
        <v>0</v>
      </c>
    </row>
    <row r="505" spans="1:28" s="2" customFormat="1" ht="25.5" hidden="1" x14ac:dyDescent="0.2">
      <c r="A505" s="362" t="s">
        <v>52</v>
      </c>
      <c r="B505" s="60" t="s">
        <v>109</v>
      </c>
      <c r="C505" s="59" t="s">
        <v>95</v>
      </c>
      <c r="D505" s="58" t="s">
        <v>76</v>
      </c>
      <c r="E505" s="103" t="s">
        <v>184</v>
      </c>
      <c r="F505" s="66" t="s">
        <v>135</v>
      </c>
      <c r="G505" s="66" t="s">
        <v>135</v>
      </c>
      <c r="H505" s="66" t="s">
        <v>135</v>
      </c>
      <c r="I505" s="66" t="s">
        <v>389</v>
      </c>
      <c r="J505" s="67" t="s">
        <v>135</v>
      </c>
      <c r="K505" s="214" t="s">
        <v>53</v>
      </c>
      <c r="L505" s="68"/>
      <c r="M505" s="69"/>
      <c r="N505" s="216"/>
      <c r="O505" s="216"/>
      <c r="P505" s="216">
        <f>P506</f>
        <v>0</v>
      </c>
      <c r="Q505" s="216"/>
      <c r="R505" s="216"/>
      <c r="S505" s="216">
        <f>S506</f>
        <v>0</v>
      </c>
      <c r="T505" s="216">
        <f>T506</f>
        <v>0</v>
      </c>
      <c r="U505" s="217">
        <f>U506</f>
        <v>0</v>
      </c>
      <c r="V505" s="216"/>
      <c r="W505" s="215"/>
      <c r="X505" s="215">
        <f>X506</f>
        <v>0</v>
      </c>
      <c r="Y505" s="216">
        <f>Y506</f>
        <v>0</v>
      </c>
      <c r="Z505" s="217">
        <f>Z506</f>
        <v>0</v>
      </c>
      <c r="AA505" s="217">
        <f>AA506</f>
        <v>0</v>
      </c>
      <c r="AB505" s="216">
        <f>AB506</f>
        <v>0</v>
      </c>
    </row>
    <row r="506" spans="1:28" s="2" customFormat="1" ht="25.5" hidden="1" x14ac:dyDescent="0.2">
      <c r="A506" s="212" t="s">
        <v>54</v>
      </c>
      <c r="B506" s="60" t="s">
        <v>109</v>
      </c>
      <c r="C506" s="59" t="s">
        <v>95</v>
      </c>
      <c r="D506" s="60" t="s">
        <v>76</v>
      </c>
      <c r="E506" s="103" t="s">
        <v>184</v>
      </c>
      <c r="F506" s="66" t="s">
        <v>135</v>
      </c>
      <c r="G506" s="66" t="s">
        <v>135</v>
      </c>
      <c r="H506" s="66" t="s">
        <v>135</v>
      </c>
      <c r="I506" s="66" t="s">
        <v>389</v>
      </c>
      <c r="J506" s="67" t="s">
        <v>135</v>
      </c>
      <c r="K506" s="214" t="s">
        <v>55</v>
      </c>
      <c r="L506" s="68"/>
      <c r="M506" s="69"/>
      <c r="N506" s="216"/>
      <c r="O506" s="216"/>
      <c r="P506" s="216">
        <v>0</v>
      </c>
      <c r="Q506" s="216"/>
      <c r="R506" s="216"/>
      <c r="S506" s="216">
        <v>0</v>
      </c>
      <c r="T506" s="216">
        <f>S506</f>
        <v>0</v>
      </c>
      <c r="U506" s="217">
        <v>0</v>
      </c>
      <c r="V506" s="216"/>
      <c r="W506" s="215"/>
      <c r="X506" s="215">
        <v>0</v>
      </c>
      <c r="Y506" s="216">
        <v>0</v>
      </c>
      <c r="Z506" s="217">
        <v>0</v>
      </c>
      <c r="AA506" s="216">
        <v>0</v>
      </c>
      <c r="AB506" s="217">
        <v>0</v>
      </c>
    </row>
    <row r="507" spans="1:28" s="2" customFormat="1" ht="25.5" x14ac:dyDescent="0.2">
      <c r="A507" s="363" t="s">
        <v>187</v>
      </c>
      <c r="B507" s="60" t="s">
        <v>109</v>
      </c>
      <c r="C507" s="59" t="s">
        <v>95</v>
      </c>
      <c r="D507" s="76" t="s">
        <v>76</v>
      </c>
      <c r="E507" s="66" t="s">
        <v>184</v>
      </c>
      <c r="F507" s="66" t="s">
        <v>135</v>
      </c>
      <c r="G507" s="66" t="s">
        <v>135</v>
      </c>
      <c r="H507" s="66" t="s">
        <v>135</v>
      </c>
      <c r="I507" s="66" t="s">
        <v>389</v>
      </c>
      <c r="J507" s="67" t="s">
        <v>135</v>
      </c>
      <c r="K507" s="309" t="s">
        <v>160</v>
      </c>
      <c r="L507" s="68"/>
      <c r="M507" s="69"/>
      <c r="N507" s="216">
        <f t="shared" si="255"/>
        <v>0</v>
      </c>
      <c r="O507" s="216">
        <f t="shared" si="255"/>
        <v>184116316</v>
      </c>
      <c r="P507" s="216">
        <f t="shared" si="256"/>
        <v>4308320</v>
      </c>
      <c r="Q507" s="216">
        <f t="shared" si="256"/>
        <v>0</v>
      </c>
      <c r="R507" s="216">
        <f t="shared" si="256"/>
        <v>0</v>
      </c>
      <c r="S507" s="216">
        <f t="shared" si="256"/>
        <v>1558277</v>
      </c>
      <c r="T507" s="216">
        <f t="shared" si="256"/>
        <v>5866597</v>
      </c>
      <c r="U507" s="217">
        <f t="shared" si="256"/>
        <v>0</v>
      </c>
      <c r="V507" s="216">
        <f t="shared" si="256"/>
        <v>0</v>
      </c>
      <c r="W507" s="215">
        <f t="shared" si="256"/>
        <v>0</v>
      </c>
      <c r="X507" s="215">
        <f t="shared" si="256"/>
        <v>0</v>
      </c>
      <c r="Y507" s="216">
        <f t="shared" si="256"/>
        <v>0</v>
      </c>
      <c r="Z507" s="217">
        <f t="shared" si="256"/>
        <v>0</v>
      </c>
      <c r="AA507" s="216">
        <f t="shared" si="256"/>
        <v>0</v>
      </c>
      <c r="AB507" s="216">
        <f t="shared" si="256"/>
        <v>0</v>
      </c>
    </row>
    <row r="508" spans="1:28" s="2" customFormat="1" x14ac:dyDescent="0.2">
      <c r="A508" s="364" t="s">
        <v>162</v>
      </c>
      <c r="B508" s="60" t="s">
        <v>109</v>
      </c>
      <c r="C508" s="59" t="s">
        <v>95</v>
      </c>
      <c r="D508" s="76" t="s">
        <v>76</v>
      </c>
      <c r="E508" s="66" t="s">
        <v>184</v>
      </c>
      <c r="F508" s="66" t="s">
        <v>135</v>
      </c>
      <c r="G508" s="66" t="s">
        <v>135</v>
      </c>
      <c r="H508" s="66" t="s">
        <v>135</v>
      </c>
      <c r="I508" s="66" t="s">
        <v>389</v>
      </c>
      <c r="J508" s="67" t="s">
        <v>135</v>
      </c>
      <c r="K508" s="309" t="s">
        <v>161</v>
      </c>
      <c r="L508" s="68"/>
      <c r="M508" s="69"/>
      <c r="N508" s="216">
        <v>0</v>
      </c>
      <c r="O508" s="216">
        <f>182281920+1834396</f>
        <v>184116316</v>
      </c>
      <c r="P508" s="216">
        <v>4308320</v>
      </c>
      <c r="Q508" s="217">
        <v>0</v>
      </c>
      <c r="R508" s="216">
        <v>0</v>
      </c>
      <c r="S508" s="216">
        <f>372070+1186207</f>
        <v>1558277</v>
      </c>
      <c r="T508" s="216">
        <f>S508+P508</f>
        <v>5866597</v>
      </c>
      <c r="U508" s="217">
        <v>0</v>
      </c>
      <c r="V508" s="216">
        <v>0</v>
      </c>
      <c r="W508" s="215">
        <v>0</v>
      </c>
      <c r="X508" s="215">
        <v>0</v>
      </c>
      <c r="Y508" s="216">
        <v>0</v>
      </c>
      <c r="Z508" s="217">
        <v>0</v>
      </c>
      <c r="AA508" s="216">
        <v>0</v>
      </c>
      <c r="AB508" s="216">
        <v>0</v>
      </c>
    </row>
    <row r="509" spans="1:28" s="2" customFormat="1" x14ac:dyDescent="0.2">
      <c r="A509" s="485" t="s">
        <v>190</v>
      </c>
      <c r="B509" s="60" t="s">
        <v>109</v>
      </c>
      <c r="C509" s="59" t="s">
        <v>95</v>
      </c>
      <c r="D509" s="76" t="s">
        <v>73</v>
      </c>
      <c r="E509" s="60"/>
      <c r="F509" s="60"/>
      <c r="G509" s="66"/>
      <c r="H509" s="66"/>
      <c r="I509" s="60"/>
      <c r="J509" s="76"/>
      <c r="K509" s="408"/>
      <c r="L509" s="68">
        <f t="shared" ref="L509:P512" si="258">L510</f>
        <v>263500</v>
      </c>
      <c r="M509" s="69">
        <f t="shared" si="258"/>
        <v>0</v>
      </c>
      <c r="N509" s="216">
        <f t="shared" si="258"/>
        <v>0</v>
      </c>
      <c r="O509" s="216">
        <f t="shared" si="258"/>
        <v>0</v>
      </c>
      <c r="P509" s="216">
        <f t="shared" si="258"/>
        <v>225000</v>
      </c>
      <c r="Q509" s="68">
        <f t="shared" ref="Q509:AB512" si="259">Q510</f>
        <v>346000</v>
      </c>
      <c r="R509" s="216">
        <f t="shared" si="259"/>
        <v>0</v>
      </c>
      <c r="S509" s="216">
        <f t="shared" si="259"/>
        <v>0</v>
      </c>
      <c r="T509" s="216">
        <f t="shared" si="259"/>
        <v>225000</v>
      </c>
      <c r="U509" s="217">
        <f t="shared" si="259"/>
        <v>346000</v>
      </c>
      <c r="V509" s="217">
        <f t="shared" si="259"/>
        <v>346000</v>
      </c>
      <c r="W509" s="215">
        <f t="shared" si="259"/>
        <v>0</v>
      </c>
      <c r="X509" s="215">
        <f t="shared" si="259"/>
        <v>0</v>
      </c>
      <c r="Y509" s="216">
        <f t="shared" si="259"/>
        <v>346000</v>
      </c>
      <c r="Z509" s="217">
        <f t="shared" si="259"/>
        <v>346000</v>
      </c>
      <c r="AA509" s="216">
        <f t="shared" si="259"/>
        <v>0</v>
      </c>
      <c r="AB509" s="216">
        <f t="shared" si="259"/>
        <v>346000</v>
      </c>
    </row>
    <row r="510" spans="1:28" s="2" customFormat="1" x14ac:dyDescent="0.2">
      <c r="A510" s="464" t="s">
        <v>364</v>
      </c>
      <c r="B510" s="60" t="s">
        <v>109</v>
      </c>
      <c r="C510" s="59" t="s">
        <v>95</v>
      </c>
      <c r="D510" s="76" t="s">
        <v>73</v>
      </c>
      <c r="E510" s="81" t="s">
        <v>184</v>
      </c>
      <c r="F510" s="81" t="s">
        <v>135</v>
      </c>
      <c r="G510" s="66" t="s">
        <v>135</v>
      </c>
      <c r="H510" s="66" t="s">
        <v>135</v>
      </c>
      <c r="I510" s="81" t="s">
        <v>136</v>
      </c>
      <c r="J510" s="67" t="s">
        <v>135</v>
      </c>
      <c r="K510" s="292"/>
      <c r="L510" s="68">
        <f t="shared" si="258"/>
        <v>263500</v>
      </c>
      <c r="M510" s="69">
        <f t="shared" si="258"/>
        <v>0</v>
      </c>
      <c r="N510" s="216">
        <f t="shared" si="258"/>
        <v>0</v>
      </c>
      <c r="O510" s="216">
        <f t="shared" si="258"/>
        <v>0</v>
      </c>
      <c r="P510" s="216">
        <f>P511+P514</f>
        <v>225000</v>
      </c>
      <c r="Q510" s="216">
        <f t="shared" ref="Q510:AB510" si="260">Q511+Q514</f>
        <v>346000</v>
      </c>
      <c r="R510" s="216">
        <f t="shared" si="260"/>
        <v>0</v>
      </c>
      <c r="S510" s="216">
        <f t="shared" si="260"/>
        <v>0</v>
      </c>
      <c r="T510" s="216">
        <f t="shared" si="260"/>
        <v>225000</v>
      </c>
      <c r="U510" s="217">
        <f t="shared" si="260"/>
        <v>346000</v>
      </c>
      <c r="V510" s="216">
        <f t="shared" si="260"/>
        <v>346000</v>
      </c>
      <c r="W510" s="216">
        <f t="shared" si="260"/>
        <v>0</v>
      </c>
      <c r="X510" s="215">
        <f t="shared" si="260"/>
        <v>0</v>
      </c>
      <c r="Y510" s="216">
        <f t="shared" si="260"/>
        <v>346000</v>
      </c>
      <c r="Z510" s="217">
        <f t="shared" si="260"/>
        <v>346000</v>
      </c>
      <c r="AA510" s="216">
        <f t="shared" si="260"/>
        <v>0</v>
      </c>
      <c r="AB510" s="216">
        <f t="shared" si="260"/>
        <v>346000</v>
      </c>
    </row>
    <row r="511" spans="1:28" s="2" customFormat="1" x14ac:dyDescent="0.2">
      <c r="A511" s="362" t="s">
        <v>49</v>
      </c>
      <c r="B511" s="59" t="s">
        <v>109</v>
      </c>
      <c r="C511" s="76" t="s">
        <v>95</v>
      </c>
      <c r="D511" s="76" t="s">
        <v>73</v>
      </c>
      <c r="E511" s="66" t="s">
        <v>184</v>
      </c>
      <c r="F511" s="66" t="s">
        <v>135</v>
      </c>
      <c r="G511" s="66" t="s">
        <v>135</v>
      </c>
      <c r="H511" s="66" t="s">
        <v>135</v>
      </c>
      <c r="I511" s="66" t="s">
        <v>18</v>
      </c>
      <c r="J511" s="67" t="s">
        <v>135</v>
      </c>
      <c r="K511" s="309"/>
      <c r="L511" s="68">
        <f t="shared" si="258"/>
        <v>263500</v>
      </c>
      <c r="M511" s="69">
        <f t="shared" si="258"/>
        <v>0</v>
      </c>
      <c r="N511" s="216">
        <f t="shared" si="258"/>
        <v>0</v>
      </c>
      <c r="O511" s="216">
        <f t="shared" si="258"/>
        <v>0</v>
      </c>
      <c r="P511" s="216">
        <f t="shared" si="258"/>
        <v>0</v>
      </c>
      <c r="Q511" s="68">
        <f t="shared" si="259"/>
        <v>346000</v>
      </c>
      <c r="R511" s="216">
        <f t="shared" si="259"/>
        <v>0</v>
      </c>
      <c r="S511" s="216">
        <f t="shared" si="259"/>
        <v>0</v>
      </c>
      <c r="T511" s="216">
        <f t="shared" si="259"/>
        <v>0</v>
      </c>
      <c r="U511" s="217">
        <f t="shared" si="259"/>
        <v>346000</v>
      </c>
      <c r="V511" s="217">
        <f t="shared" si="259"/>
        <v>346000</v>
      </c>
      <c r="W511" s="215">
        <f t="shared" si="259"/>
        <v>0</v>
      </c>
      <c r="X511" s="215">
        <f t="shared" si="259"/>
        <v>0</v>
      </c>
      <c r="Y511" s="216">
        <f t="shared" si="259"/>
        <v>346000</v>
      </c>
      <c r="Z511" s="217">
        <f t="shared" si="259"/>
        <v>346000</v>
      </c>
      <c r="AA511" s="216">
        <f t="shared" si="259"/>
        <v>0</v>
      </c>
      <c r="AB511" s="216">
        <f t="shared" si="259"/>
        <v>346000</v>
      </c>
    </row>
    <row r="512" spans="1:28" s="2" customFormat="1" ht="51" x14ac:dyDescent="0.2">
      <c r="A512" s="362" t="s">
        <v>67</v>
      </c>
      <c r="B512" s="59" t="s">
        <v>109</v>
      </c>
      <c r="C512" s="76" t="s">
        <v>95</v>
      </c>
      <c r="D512" s="76" t="s">
        <v>73</v>
      </c>
      <c r="E512" s="66" t="s">
        <v>184</v>
      </c>
      <c r="F512" s="66" t="s">
        <v>135</v>
      </c>
      <c r="G512" s="66" t="s">
        <v>135</v>
      </c>
      <c r="H512" s="66" t="s">
        <v>135</v>
      </c>
      <c r="I512" s="66" t="s">
        <v>18</v>
      </c>
      <c r="J512" s="67" t="s">
        <v>135</v>
      </c>
      <c r="K512" s="309" t="s">
        <v>60</v>
      </c>
      <c r="L512" s="68">
        <f t="shared" si="258"/>
        <v>263500</v>
      </c>
      <c r="M512" s="69">
        <f t="shared" si="258"/>
        <v>0</v>
      </c>
      <c r="N512" s="216">
        <f t="shared" si="258"/>
        <v>0</v>
      </c>
      <c r="O512" s="216">
        <f t="shared" si="258"/>
        <v>0</v>
      </c>
      <c r="P512" s="216">
        <f t="shared" si="258"/>
        <v>0</v>
      </c>
      <c r="Q512" s="68">
        <f t="shared" si="259"/>
        <v>346000</v>
      </c>
      <c r="R512" s="216">
        <f t="shared" si="259"/>
        <v>0</v>
      </c>
      <c r="S512" s="216">
        <f t="shared" si="259"/>
        <v>0</v>
      </c>
      <c r="T512" s="216">
        <f t="shared" si="259"/>
        <v>0</v>
      </c>
      <c r="U512" s="217">
        <f t="shared" si="259"/>
        <v>346000</v>
      </c>
      <c r="V512" s="217">
        <f t="shared" si="259"/>
        <v>346000</v>
      </c>
      <c r="W512" s="215">
        <f t="shared" si="259"/>
        <v>0</v>
      </c>
      <c r="X512" s="215">
        <f t="shared" si="259"/>
        <v>0</v>
      </c>
      <c r="Y512" s="216">
        <f t="shared" si="259"/>
        <v>346000</v>
      </c>
      <c r="Z512" s="217">
        <f t="shared" si="259"/>
        <v>346000</v>
      </c>
      <c r="AA512" s="216">
        <f t="shared" si="259"/>
        <v>0</v>
      </c>
      <c r="AB512" s="216">
        <f t="shared" si="259"/>
        <v>346000</v>
      </c>
    </row>
    <row r="513" spans="1:29" s="2" customFormat="1" ht="42" customHeight="1" x14ac:dyDescent="0.2">
      <c r="A513" s="362" t="s">
        <v>61</v>
      </c>
      <c r="B513" s="59" t="s">
        <v>109</v>
      </c>
      <c r="C513" s="59" t="s">
        <v>95</v>
      </c>
      <c r="D513" s="59" t="s">
        <v>73</v>
      </c>
      <c r="E513" s="66" t="s">
        <v>184</v>
      </c>
      <c r="F513" s="66" t="s">
        <v>135</v>
      </c>
      <c r="G513" s="66" t="s">
        <v>135</v>
      </c>
      <c r="H513" s="66" t="s">
        <v>135</v>
      </c>
      <c r="I513" s="66" t="s">
        <v>18</v>
      </c>
      <c r="J513" s="67" t="s">
        <v>135</v>
      </c>
      <c r="K513" s="214" t="s">
        <v>171</v>
      </c>
      <c r="L513" s="68">
        <v>263500</v>
      </c>
      <c r="M513" s="68">
        <v>0</v>
      </c>
      <c r="N513" s="68">
        <v>0</v>
      </c>
      <c r="O513" s="68">
        <v>0</v>
      </c>
      <c r="P513" s="217">
        <v>0</v>
      </c>
      <c r="Q513" s="68">
        <v>346000</v>
      </c>
      <c r="R513" s="68">
        <v>0</v>
      </c>
      <c r="S513" s="217">
        <v>0</v>
      </c>
      <c r="T513" s="216">
        <v>0</v>
      </c>
      <c r="U513" s="217">
        <v>346000</v>
      </c>
      <c r="V513" s="68">
        <v>346000</v>
      </c>
      <c r="W513" s="68">
        <v>0</v>
      </c>
      <c r="X513" s="68">
        <v>0</v>
      </c>
      <c r="Y513" s="216">
        <v>346000</v>
      </c>
      <c r="Z513" s="217">
        <v>346000</v>
      </c>
      <c r="AA513" s="216">
        <v>0</v>
      </c>
      <c r="AB513" s="216">
        <v>346000</v>
      </c>
    </row>
    <row r="514" spans="1:29" s="2" customFormat="1" ht="38.25" x14ac:dyDescent="0.2">
      <c r="A514" s="469" t="s">
        <v>347</v>
      </c>
      <c r="B514" s="59" t="s">
        <v>109</v>
      </c>
      <c r="C514" s="59" t="s">
        <v>95</v>
      </c>
      <c r="D514" s="59" t="s">
        <v>73</v>
      </c>
      <c r="E514" s="66" t="s">
        <v>184</v>
      </c>
      <c r="F514" s="66" t="s">
        <v>135</v>
      </c>
      <c r="G514" s="66" t="s">
        <v>135</v>
      </c>
      <c r="H514" s="66" t="s">
        <v>135</v>
      </c>
      <c r="I514" s="66" t="s">
        <v>389</v>
      </c>
      <c r="J514" s="67" t="s">
        <v>135</v>
      </c>
      <c r="K514" s="214"/>
      <c r="L514" s="68"/>
      <c r="M514" s="69"/>
      <c r="N514" s="216">
        <f>N523</f>
        <v>0</v>
      </c>
      <c r="O514" s="216">
        <f>O523</f>
        <v>0</v>
      </c>
      <c r="P514" s="216">
        <f t="shared" ref="P514:AB514" si="261">P523+P515</f>
        <v>225000</v>
      </c>
      <c r="Q514" s="217">
        <f t="shared" si="261"/>
        <v>0</v>
      </c>
      <c r="R514" s="216">
        <f t="shared" si="261"/>
        <v>0</v>
      </c>
      <c r="S514" s="216">
        <f t="shared" si="261"/>
        <v>0</v>
      </c>
      <c r="T514" s="216">
        <f t="shared" si="261"/>
        <v>225000</v>
      </c>
      <c r="U514" s="217">
        <f t="shared" si="261"/>
        <v>0</v>
      </c>
      <c r="V514" s="217">
        <f t="shared" si="261"/>
        <v>0</v>
      </c>
      <c r="W514" s="216">
        <f t="shared" si="261"/>
        <v>0</v>
      </c>
      <c r="X514" s="215">
        <f t="shared" si="261"/>
        <v>0</v>
      </c>
      <c r="Y514" s="216">
        <f t="shared" si="261"/>
        <v>0</v>
      </c>
      <c r="Z514" s="217">
        <f t="shared" si="261"/>
        <v>0</v>
      </c>
      <c r="AA514" s="216">
        <f t="shared" si="261"/>
        <v>0</v>
      </c>
      <c r="AB514" s="216">
        <f t="shared" si="261"/>
        <v>0</v>
      </c>
    </row>
    <row r="515" spans="1:29" s="2" customFormat="1" ht="51" x14ac:dyDescent="0.2">
      <c r="A515" s="362" t="s">
        <v>67</v>
      </c>
      <c r="B515" s="59" t="s">
        <v>109</v>
      </c>
      <c r="C515" s="59" t="s">
        <v>95</v>
      </c>
      <c r="D515" s="59" t="s">
        <v>73</v>
      </c>
      <c r="E515" s="66" t="s">
        <v>184</v>
      </c>
      <c r="F515" s="66" t="s">
        <v>135</v>
      </c>
      <c r="G515" s="66" t="s">
        <v>135</v>
      </c>
      <c r="H515" s="66" t="s">
        <v>135</v>
      </c>
      <c r="I515" s="66" t="s">
        <v>389</v>
      </c>
      <c r="J515" s="67" t="s">
        <v>135</v>
      </c>
      <c r="K515" s="214" t="s">
        <v>60</v>
      </c>
      <c r="L515" s="68"/>
      <c r="M515" s="69"/>
      <c r="N515" s="216"/>
      <c r="O515" s="216"/>
      <c r="P515" s="216">
        <f>P516</f>
        <v>225000</v>
      </c>
      <c r="Q515" s="217"/>
      <c r="R515" s="216"/>
      <c r="S515" s="216">
        <f>S516</f>
        <v>0</v>
      </c>
      <c r="T515" s="216">
        <f>T516</f>
        <v>225000</v>
      </c>
      <c r="U515" s="217">
        <f>U516</f>
        <v>0</v>
      </c>
      <c r="V515" s="217"/>
      <c r="W515" s="215"/>
      <c r="X515" s="215">
        <f>X516</f>
        <v>0</v>
      </c>
      <c r="Y515" s="216">
        <f>Y516</f>
        <v>0</v>
      </c>
      <c r="Z515" s="217">
        <f>Z516</f>
        <v>0</v>
      </c>
      <c r="AA515" s="216">
        <f>AA516</f>
        <v>0</v>
      </c>
      <c r="AB515" s="216">
        <f>AB516</f>
        <v>0</v>
      </c>
    </row>
    <row r="516" spans="1:29" s="2" customFormat="1" ht="25.5" x14ac:dyDescent="0.2">
      <c r="A516" s="362" t="s">
        <v>61</v>
      </c>
      <c r="B516" s="59" t="s">
        <v>109</v>
      </c>
      <c r="C516" s="59" t="s">
        <v>95</v>
      </c>
      <c r="D516" s="59" t="s">
        <v>73</v>
      </c>
      <c r="E516" s="66" t="s">
        <v>184</v>
      </c>
      <c r="F516" s="66" t="s">
        <v>135</v>
      </c>
      <c r="G516" s="66" t="s">
        <v>135</v>
      </c>
      <c r="H516" s="66" t="s">
        <v>135</v>
      </c>
      <c r="I516" s="66" t="s">
        <v>389</v>
      </c>
      <c r="J516" s="67" t="s">
        <v>135</v>
      </c>
      <c r="K516" s="214" t="s">
        <v>171</v>
      </c>
      <c r="L516" s="68"/>
      <c r="M516" s="68"/>
      <c r="N516" s="68"/>
      <c r="O516" s="68"/>
      <c r="P516" s="217">
        <v>225000</v>
      </c>
      <c r="Q516" s="68"/>
      <c r="R516" s="68"/>
      <c r="S516" s="217">
        <v>0</v>
      </c>
      <c r="T516" s="216">
        <f>P516</f>
        <v>225000</v>
      </c>
      <c r="U516" s="217">
        <v>0</v>
      </c>
      <c r="V516" s="68"/>
      <c r="W516" s="68"/>
      <c r="X516" s="68">
        <v>0</v>
      </c>
      <c r="Y516" s="216">
        <v>0</v>
      </c>
      <c r="Z516" s="217">
        <v>0</v>
      </c>
      <c r="AA516" s="216">
        <v>0</v>
      </c>
      <c r="AB516" s="216">
        <v>0</v>
      </c>
      <c r="AC516" s="160"/>
    </row>
    <row r="517" spans="1:29" s="2" customFormat="1" ht="25.5" x14ac:dyDescent="0.2">
      <c r="A517" s="362" t="s">
        <v>460</v>
      </c>
      <c r="B517" s="59" t="s">
        <v>109</v>
      </c>
      <c r="C517" s="59" t="s">
        <v>120</v>
      </c>
      <c r="D517" s="59"/>
      <c r="E517" s="66"/>
      <c r="F517" s="66"/>
      <c r="G517" s="66"/>
      <c r="H517" s="66"/>
      <c r="I517" s="66"/>
      <c r="J517" s="67"/>
      <c r="K517" s="214"/>
      <c r="L517" s="68"/>
      <c r="M517" s="69"/>
      <c r="N517" s="216"/>
      <c r="O517" s="216"/>
      <c r="P517" s="216">
        <f>P518</f>
        <v>0</v>
      </c>
      <c r="Q517" s="68"/>
      <c r="R517" s="216"/>
      <c r="S517" s="216">
        <f t="shared" ref="S517:U521" si="262">S518</f>
        <v>1966931.62</v>
      </c>
      <c r="T517" s="216">
        <f t="shared" si="262"/>
        <v>1966931.62</v>
      </c>
      <c r="U517" s="217">
        <f t="shared" si="262"/>
        <v>0</v>
      </c>
      <c r="V517" s="217"/>
      <c r="W517" s="215"/>
      <c r="X517" s="215">
        <f t="shared" ref="X517:AB521" si="263">X518</f>
        <v>4864313.37</v>
      </c>
      <c r="Y517" s="216">
        <f t="shared" si="263"/>
        <v>4864313.37</v>
      </c>
      <c r="Z517" s="217">
        <f t="shared" si="263"/>
        <v>0</v>
      </c>
      <c r="AA517" s="216">
        <f t="shared" si="263"/>
        <v>2974717.87</v>
      </c>
      <c r="AB517" s="216">
        <f t="shared" si="263"/>
        <v>2974717.87</v>
      </c>
    </row>
    <row r="518" spans="1:29" s="2" customFormat="1" ht="25.5" x14ac:dyDescent="0.2">
      <c r="A518" s="362" t="s">
        <v>461</v>
      </c>
      <c r="B518" s="59" t="s">
        <v>109</v>
      </c>
      <c r="C518" s="59" t="s">
        <v>120</v>
      </c>
      <c r="D518" s="59" t="s">
        <v>69</v>
      </c>
      <c r="E518" s="66"/>
      <c r="F518" s="66"/>
      <c r="G518" s="66"/>
      <c r="H518" s="66"/>
      <c r="I518" s="66"/>
      <c r="J518" s="67"/>
      <c r="K518" s="214"/>
      <c r="L518" s="68"/>
      <c r="M518" s="69"/>
      <c r="N518" s="216"/>
      <c r="O518" s="216"/>
      <c r="P518" s="216">
        <f>P519</f>
        <v>0</v>
      </c>
      <c r="Q518" s="68"/>
      <c r="R518" s="216"/>
      <c r="S518" s="216">
        <f t="shared" si="262"/>
        <v>1966931.62</v>
      </c>
      <c r="T518" s="216">
        <f t="shared" si="262"/>
        <v>1966931.62</v>
      </c>
      <c r="U518" s="217">
        <f t="shared" si="262"/>
        <v>0</v>
      </c>
      <c r="V518" s="217"/>
      <c r="W518" s="215"/>
      <c r="X518" s="215">
        <f t="shared" si="263"/>
        <v>4864313.37</v>
      </c>
      <c r="Y518" s="216">
        <f t="shared" si="263"/>
        <v>4864313.37</v>
      </c>
      <c r="Z518" s="217">
        <f t="shared" si="263"/>
        <v>0</v>
      </c>
      <c r="AA518" s="216">
        <f t="shared" si="263"/>
        <v>2974717.87</v>
      </c>
      <c r="AB518" s="216">
        <f t="shared" si="263"/>
        <v>2974717.87</v>
      </c>
    </row>
    <row r="519" spans="1:29" s="2" customFormat="1" ht="25.5" x14ac:dyDescent="0.2">
      <c r="A519" s="362" t="s">
        <v>46</v>
      </c>
      <c r="B519" s="59" t="s">
        <v>109</v>
      </c>
      <c r="C519" s="59" t="s">
        <v>120</v>
      </c>
      <c r="D519" s="59" t="s">
        <v>69</v>
      </c>
      <c r="E519" s="66" t="s">
        <v>7</v>
      </c>
      <c r="F519" s="66" t="s">
        <v>135</v>
      </c>
      <c r="G519" s="66" t="s">
        <v>135</v>
      </c>
      <c r="H519" s="66" t="s">
        <v>135</v>
      </c>
      <c r="I519" s="66" t="s">
        <v>136</v>
      </c>
      <c r="J519" s="67" t="s">
        <v>135</v>
      </c>
      <c r="K519" s="214"/>
      <c r="L519" s="68"/>
      <c r="M519" s="69"/>
      <c r="N519" s="216"/>
      <c r="O519" s="216"/>
      <c r="P519" s="216">
        <f>P520</f>
        <v>0</v>
      </c>
      <c r="Q519" s="68"/>
      <c r="R519" s="216"/>
      <c r="S519" s="216">
        <f t="shared" si="262"/>
        <v>1966931.62</v>
      </c>
      <c r="T519" s="216">
        <f t="shared" si="262"/>
        <v>1966931.62</v>
      </c>
      <c r="U519" s="217">
        <f t="shared" si="262"/>
        <v>0</v>
      </c>
      <c r="V519" s="217"/>
      <c r="W519" s="215"/>
      <c r="X519" s="215">
        <f t="shared" si="263"/>
        <v>4864313.37</v>
      </c>
      <c r="Y519" s="216">
        <f t="shared" si="263"/>
        <v>4864313.37</v>
      </c>
      <c r="Z519" s="217">
        <f t="shared" si="263"/>
        <v>0</v>
      </c>
      <c r="AA519" s="217">
        <f t="shared" si="263"/>
        <v>2974717.87</v>
      </c>
      <c r="AB519" s="216">
        <f t="shared" si="263"/>
        <v>2974717.87</v>
      </c>
    </row>
    <row r="520" spans="1:29" s="2" customFormat="1" ht="22.5" customHeight="1" x14ac:dyDescent="0.2">
      <c r="A520" s="362" t="s">
        <v>462</v>
      </c>
      <c r="B520" s="59" t="s">
        <v>109</v>
      </c>
      <c r="C520" s="76" t="s">
        <v>120</v>
      </c>
      <c r="D520" s="59" t="s">
        <v>69</v>
      </c>
      <c r="E520" s="66" t="s">
        <v>7</v>
      </c>
      <c r="F520" s="66" t="s">
        <v>135</v>
      </c>
      <c r="G520" s="66" t="s">
        <v>135</v>
      </c>
      <c r="H520" s="66" t="s">
        <v>135</v>
      </c>
      <c r="I520" s="66" t="s">
        <v>459</v>
      </c>
      <c r="J520" s="67" t="s">
        <v>135</v>
      </c>
      <c r="K520" s="309"/>
      <c r="L520" s="68"/>
      <c r="M520" s="69"/>
      <c r="N520" s="216"/>
      <c r="O520" s="216"/>
      <c r="P520" s="216">
        <f>P521</f>
        <v>0</v>
      </c>
      <c r="Q520" s="215"/>
      <c r="R520" s="216"/>
      <c r="S520" s="216">
        <f t="shared" si="262"/>
        <v>1966931.62</v>
      </c>
      <c r="T520" s="216">
        <f t="shared" si="262"/>
        <v>1966931.62</v>
      </c>
      <c r="U520" s="217">
        <f t="shared" si="262"/>
        <v>0</v>
      </c>
      <c r="V520" s="216"/>
      <c r="W520" s="215"/>
      <c r="X520" s="215">
        <f t="shared" si="263"/>
        <v>4864313.37</v>
      </c>
      <c r="Y520" s="216">
        <f t="shared" si="263"/>
        <v>4864313.37</v>
      </c>
      <c r="Z520" s="217">
        <f t="shared" si="263"/>
        <v>0</v>
      </c>
      <c r="AA520" s="216">
        <f t="shared" si="263"/>
        <v>2974717.87</v>
      </c>
      <c r="AB520" s="216">
        <f t="shared" si="263"/>
        <v>2974717.87</v>
      </c>
    </row>
    <row r="521" spans="1:29" s="2" customFormat="1" ht="23.25" customHeight="1" x14ac:dyDescent="0.2">
      <c r="A521" s="362" t="s">
        <v>463</v>
      </c>
      <c r="B521" s="60" t="s">
        <v>109</v>
      </c>
      <c r="C521" s="59" t="s">
        <v>120</v>
      </c>
      <c r="D521" s="58" t="s">
        <v>69</v>
      </c>
      <c r="E521" s="103" t="s">
        <v>7</v>
      </c>
      <c r="F521" s="66" t="s">
        <v>135</v>
      </c>
      <c r="G521" s="66" t="s">
        <v>135</v>
      </c>
      <c r="H521" s="66" t="s">
        <v>135</v>
      </c>
      <c r="I521" s="66" t="s">
        <v>459</v>
      </c>
      <c r="J521" s="67" t="s">
        <v>135</v>
      </c>
      <c r="K521" s="309" t="s">
        <v>457</v>
      </c>
      <c r="L521" s="68"/>
      <c r="M521" s="69"/>
      <c r="N521" s="216"/>
      <c r="O521" s="216"/>
      <c r="P521" s="216">
        <f>P522</f>
        <v>0</v>
      </c>
      <c r="Q521" s="215"/>
      <c r="R521" s="216"/>
      <c r="S521" s="216">
        <f t="shared" si="262"/>
        <v>1966931.62</v>
      </c>
      <c r="T521" s="216">
        <f t="shared" si="262"/>
        <v>1966931.62</v>
      </c>
      <c r="U521" s="217">
        <f t="shared" si="262"/>
        <v>0</v>
      </c>
      <c r="V521" s="216"/>
      <c r="W521" s="215"/>
      <c r="X521" s="215">
        <f t="shared" si="263"/>
        <v>4864313.37</v>
      </c>
      <c r="Y521" s="216">
        <f t="shared" si="263"/>
        <v>4864313.37</v>
      </c>
      <c r="Z521" s="217">
        <f t="shared" si="263"/>
        <v>0</v>
      </c>
      <c r="AA521" s="216">
        <f t="shared" si="263"/>
        <v>2974717.87</v>
      </c>
      <c r="AB521" s="216">
        <f t="shared" si="263"/>
        <v>2974717.87</v>
      </c>
    </row>
    <row r="522" spans="1:29" s="2" customFormat="1" ht="32.25" customHeight="1" x14ac:dyDescent="0.2">
      <c r="A522" s="440" t="s">
        <v>462</v>
      </c>
      <c r="B522" s="261" t="s">
        <v>109</v>
      </c>
      <c r="C522" s="127" t="s">
        <v>120</v>
      </c>
      <c r="D522" s="128" t="s">
        <v>69</v>
      </c>
      <c r="E522" s="129" t="s">
        <v>7</v>
      </c>
      <c r="F522" s="88" t="s">
        <v>135</v>
      </c>
      <c r="G522" s="88" t="s">
        <v>135</v>
      </c>
      <c r="H522" s="88" t="s">
        <v>135</v>
      </c>
      <c r="I522" s="88" t="s">
        <v>459</v>
      </c>
      <c r="J522" s="90" t="s">
        <v>135</v>
      </c>
      <c r="K522" s="306" t="s">
        <v>458</v>
      </c>
      <c r="L522" s="91"/>
      <c r="M522" s="92"/>
      <c r="N522" s="327"/>
      <c r="O522" s="327"/>
      <c r="P522" s="327">
        <v>0</v>
      </c>
      <c r="Q522" s="326"/>
      <c r="R522" s="327"/>
      <c r="S522" s="327">
        <v>1966931.62</v>
      </c>
      <c r="T522" s="327">
        <f>S522</f>
        <v>1966931.62</v>
      </c>
      <c r="U522" s="328">
        <v>0</v>
      </c>
      <c r="V522" s="327"/>
      <c r="W522" s="326"/>
      <c r="X522" s="326">
        <v>4864313.37</v>
      </c>
      <c r="Y522" s="327">
        <f>X522</f>
        <v>4864313.37</v>
      </c>
      <c r="Z522" s="328">
        <v>0</v>
      </c>
      <c r="AA522" s="327">
        <v>2974717.87</v>
      </c>
      <c r="AB522" s="327">
        <f>AA522</f>
        <v>2974717.87</v>
      </c>
    </row>
    <row r="523" spans="1:29" s="2" customFormat="1" ht="19.5" customHeight="1" x14ac:dyDescent="0.2">
      <c r="A523" s="212"/>
      <c r="B523" s="58"/>
      <c r="C523" s="59"/>
      <c r="D523" s="59"/>
      <c r="E523" s="103"/>
      <c r="F523" s="66"/>
      <c r="G523" s="66"/>
      <c r="H523" s="66"/>
      <c r="I523" s="66"/>
      <c r="J523" s="67"/>
      <c r="K523" s="309"/>
      <c r="L523" s="68"/>
      <c r="M523" s="69"/>
      <c r="N523" s="216"/>
      <c r="O523" s="216"/>
      <c r="P523" s="216"/>
      <c r="Q523" s="215"/>
      <c r="R523" s="216"/>
      <c r="S523" s="216"/>
      <c r="T523" s="216"/>
      <c r="U523" s="217"/>
      <c r="V523" s="216"/>
      <c r="W523" s="215"/>
      <c r="X523" s="215"/>
      <c r="Y523" s="216"/>
      <c r="Z523" s="217"/>
      <c r="AA523" s="216"/>
      <c r="AB523" s="216"/>
    </row>
    <row r="524" spans="1:29" s="100" customFormat="1" x14ac:dyDescent="0.2">
      <c r="A524" s="402" t="s">
        <v>318</v>
      </c>
      <c r="B524" s="58" t="s">
        <v>110</v>
      </c>
      <c r="C524" s="130"/>
      <c r="D524" s="130"/>
      <c r="E524" s="131"/>
      <c r="F524" s="132"/>
      <c r="G524" s="66"/>
      <c r="H524" s="66"/>
      <c r="I524" s="132"/>
      <c r="J524" s="133"/>
      <c r="K524" s="417"/>
      <c r="L524" s="98">
        <f t="shared" ref="L524:AB524" si="264">L525</f>
        <v>3111274</v>
      </c>
      <c r="M524" s="99">
        <f t="shared" si="264"/>
        <v>0</v>
      </c>
      <c r="N524" s="426">
        <f t="shared" si="264"/>
        <v>4737638.2</v>
      </c>
      <c r="O524" s="426">
        <f t="shared" si="264"/>
        <v>0</v>
      </c>
      <c r="P524" s="426">
        <f t="shared" si="264"/>
        <v>4737638.2</v>
      </c>
      <c r="Q524" s="472">
        <f t="shared" si="264"/>
        <v>4817638.2</v>
      </c>
      <c r="R524" s="426">
        <f t="shared" si="264"/>
        <v>0</v>
      </c>
      <c r="S524" s="426">
        <f t="shared" si="264"/>
        <v>0</v>
      </c>
      <c r="T524" s="426">
        <f t="shared" si="264"/>
        <v>4737638.2</v>
      </c>
      <c r="U524" s="480">
        <f t="shared" si="264"/>
        <v>4817638.2</v>
      </c>
      <c r="V524" s="426">
        <f t="shared" si="264"/>
        <v>4817638.2</v>
      </c>
      <c r="W524" s="472">
        <f t="shared" si="264"/>
        <v>0</v>
      </c>
      <c r="X524" s="472">
        <f t="shared" si="264"/>
        <v>0</v>
      </c>
      <c r="Y524" s="426">
        <f t="shared" si="264"/>
        <v>4817638.2</v>
      </c>
      <c r="Z524" s="480">
        <f t="shared" si="264"/>
        <v>4817638.2</v>
      </c>
      <c r="AA524" s="426">
        <f t="shared" si="264"/>
        <v>0</v>
      </c>
      <c r="AB524" s="426">
        <f t="shared" si="264"/>
        <v>4817638.2</v>
      </c>
    </row>
    <row r="525" spans="1:29" x14ac:dyDescent="0.2">
      <c r="A525" s="400" t="s">
        <v>84</v>
      </c>
      <c r="B525" s="58" t="s">
        <v>110</v>
      </c>
      <c r="C525" s="134" t="s">
        <v>69</v>
      </c>
      <c r="D525" s="59"/>
      <c r="E525" s="58"/>
      <c r="F525" s="60"/>
      <c r="G525" s="66"/>
      <c r="H525" s="66"/>
      <c r="I525" s="60"/>
      <c r="J525" s="76"/>
      <c r="K525" s="408"/>
      <c r="L525" s="101">
        <f t="shared" ref="L525:Z525" si="265">L526+L538</f>
        <v>3111274</v>
      </c>
      <c r="M525" s="102">
        <f t="shared" si="265"/>
        <v>0</v>
      </c>
      <c r="N525" s="248">
        <f t="shared" si="265"/>
        <v>4737638.2</v>
      </c>
      <c r="O525" s="248">
        <f t="shared" si="265"/>
        <v>0</v>
      </c>
      <c r="P525" s="248">
        <f t="shared" si="265"/>
        <v>4737638.2</v>
      </c>
      <c r="Q525" s="473">
        <f t="shared" si="265"/>
        <v>4817638.2</v>
      </c>
      <c r="R525" s="248">
        <f t="shared" si="265"/>
        <v>0</v>
      </c>
      <c r="S525" s="248">
        <f>S526+S538</f>
        <v>0</v>
      </c>
      <c r="T525" s="248">
        <f>T526+T538</f>
        <v>4737638.2</v>
      </c>
      <c r="U525" s="249">
        <f t="shared" si="265"/>
        <v>4817638.2</v>
      </c>
      <c r="V525" s="248">
        <f t="shared" si="265"/>
        <v>4817638.2</v>
      </c>
      <c r="W525" s="473">
        <f t="shared" si="265"/>
        <v>0</v>
      </c>
      <c r="X525" s="473">
        <f>X526+X538</f>
        <v>0</v>
      </c>
      <c r="Y525" s="248">
        <f>Y526+Y538</f>
        <v>4817638.2</v>
      </c>
      <c r="Z525" s="249">
        <f t="shared" si="265"/>
        <v>4817638.2</v>
      </c>
      <c r="AA525" s="248">
        <f>AA526+AA538</f>
        <v>0</v>
      </c>
      <c r="AB525" s="248">
        <f>AB526+AB538</f>
        <v>4817638.2</v>
      </c>
    </row>
    <row r="526" spans="1:29" ht="38.25" x14ac:dyDescent="0.2">
      <c r="A526" s="207" t="s">
        <v>105</v>
      </c>
      <c r="B526" s="58" t="s">
        <v>110</v>
      </c>
      <c r="C526" s="134" t="s">
        <v>69</v>
      </c>
      <c r="D526" s="59" t="s">
        <v>72</v>
      </c>
      <c r="E526" s="58"/>
      <c r="F526" s="60"/>
      <c r="G526" s="66"/>
      <c r="H526" s="66"/>
      <c r="I526" s="60"/>
      <c r="J526" s="76"/>
      <c r="K526" s="408"/>
      <c r="L526" s="101">
        <f t="shared" ref="L526:AB526" si="266">L527</f>
        <v>3051274</v>
      </c>
      <c r="M526" s="102">
        <f t="shared" si="266"/>
        <v>0</v>
      </c>
      <c r="N526" s="248">
        <f t="shared" si="266"/>
        <v>4737638.2</v>
      </c>
      <c r="O526" s="248">
        <f t="shared" si="266"/>
        <v>0</v>
      </c>
      <c r="P526" s="248">
        <f t="shared" si="266"/>
        <v>4737638.2</v>
      </c>
      <c r="Q526" s="473">
        <f t="shared" si="266"/>
        <v>4737638.2</v>
      </c>
      <c r="R526" s="248">
        <f t="shared" si="266"/>
        <v>0</v>
      </c>
      <c r="S526" s="248">
        <f t="shared" si="266"/>
        <v>0</v>
      </c>
      <c r="T526" s="248">
        <f t="shared" si="266"/>
        <v>4737638.2</v>
      </c>
      <c r="U526" s="249">
        <f t="shared" si="266"/>
        <v>4737638.2</v>
      </c>
      <c r="V526" s="248">
        <f t="shared" si="266"/>
        <v>4737638.2</v>
      </c>
      <c r="W526" s="473">
        <f t="shared" si="266"/>
        <v>0</v>
      </c>
      <c r="X526" s="473">
        <f t="shared" si="266"/>
        <v>0</v>
      </c>
      <c r="Y526" s="248">
        <f t="shared" si="266"/>
        <v>4737638.2</v>
      </c>
      <c r="Z526" s="249">
        <f t="shared" si="266"/>
        <v>4737638.2</v>
      </c>
      <c r="AA526" s="248">
        <f t="shared" si="266"/>
        <v>0</v>
      </c>
      <c r="AB526" s="248">
        <f t="shared" si="266"/>
        <v>4737638.2</v>
      </c>
    </row>
    <row r="527" spans="1:29" ht="25.5" x14ac:dyDescent="0.2">
      <c r="A527" s="212" t="s">
        <v>369</v>
      </c>
      <c r="B527" s="58" t="s">
        <v>110</v>
      </c>
      <c r="C527" s="134" t="s">
        <v>69</v>
      </c>
      <c r="D527" s="59" t="s">
        <v>72</v>
      </c>
      <c r="E527" s="104" t="s">
        <v>3</v>
      </c>
      <c r="F527" s="81" t="s">
        <v>135</v>
      </c>
      <c r="G527" s="66" t="s">
        <v>135</v>
      </c>
      <c r="H527" s="66" t="s">
        <v>135</v>
      </c>
      <c r="I527" s="81" t="s">
        <v>136</v>
      </c>
      <c r="J527" s="67" t="s">
        <v>135</v>
      </c>
      <c r="K527" s="292"/>
      <c r="L527" s="68">
        <f t="shared" ref="L527:Z527" si="267">L528++L532</f>
        <v>3051274</v>
      </c>
      <c r="M527" s="69">
        <f t="shared" si="267"/>
        <v>0</v>
      </c>
      <c r="N527" s="216">
        <f t="shared" si="267"/>
        <v>4737638.2</v>
      </c>
      <c r="O527" s="216">
        <f t="shared" si="267"/>
        <v>0</v>
      </c>
      <c r="P527" s="216">
        <f t="shared" si="267"/>
        <v>4737638.2</v>
      </c>
      <c r="Q527" s="215">
        <f t="shared" si="267"/>
        <v>4737638.2</v>
      </c>
      <c r="R527" s="216">
        <f t="shared" si="267"/>
        <v>0</v>
      </c>
      <c r="S527" s="216">
        <f>S528++S532</f>
        <v>0</v>
      </c>
      <c r="T527" s="216">
        <f>T528++T532</f>
        <v>4737638.2</v>
      </c>
      <c r="U527" s="217">
        <f t="shared" si="267"/>
        <v>4737638.2</v>
      </c>
      <c r="V527" s="216">
        <f t="shared" si="267"/>
        <v>4737638.2</v>
      </c>
      <c r="W527" s="215">
        <f t="shared" si="267"/>
        <v>0</v>
      </c>
      <c r="X527" s="215">
        <f>X528++X532</f>
        <v>0</v>
      </c>
      <c r="Y527" s="216">
        <f>Y528++Y532</f>
        <v>4737638.2</v>
      </c>
      <c r="Z527" s="217">
        <f t="shared" si="267"/>
        <v>4737638.2</v>
      </c>
      <c r="AA527" s="216">
        <f>AA528++AA532</f>
        <v>0</v>
      </c>
      <c r="AB527" s="216">
        <f>AB528++AB532</f>
        <v>4737638.2</v>
      </c>
    </row>
    <row r="528" spans="1:29" x14ac:dyDescent="0.2">
      <c r="A528" s="226" t="s">
        <v>370</v>
      </c>
      <c r="B528" s="58" t="s">
        <v>110</v>
      </c>
      <c r="C528" s="134" t="s">
        <v>69</v>
      </c>
      <c r="D528" s="59" t="s">
        <v>72</v>
      </c>
      <c r="E528" s="104" t="s">
        <v>3</v>
      </c>
      <c r="F528" s="81">
        <v>1</v>
      </c>
      <c r="G528" s="66" t="s">
        <v>135</v>
      </c>
      <c r="H528" s="66" t="s">
        <v>135</v>
      </c>
      <c r="I528" s="81" t="s">
        <v>136</v>
      </c>
      <c r="J528" s="67" t="s">
        <v>135</v>
      </c>
      <c r="K528" s="292"/>
      <c r="L528" s="68">
        <f t="shared" ref="L528:P530" si="268">L529</f>
        <v>1708374</v>
      </c>
      <c r="M528" s="69">
        <f t="shared" si="268"/>
        <v>0</v>
      </c>
      <c r="N528" s="216">
        <f t="shared" si="268"/>
        <v>2957464.22</v>
      </c>
      <c r="O528" s="216">
        <f t="shared" si="268"/>
        <v>0</v>
      </c>
      <c r="P528" s="216">
        <f t="shared" si="268"/>
        <v>2957464.22</v>
      </c>
      <c r="Q528" s="215">
        <f t="shared" ref="Q528:AB530" si="269">Q529</f>
        <v>2957464.22</v>
      </c>
      <c r="R528" s="216">
        <f t="shared" si="269"/>
        <v>0</v>
      </c>
      <c r="S528" s="216">
        <f t="shared" si="269"/>
        <v>0</v>
      </c>
      <c r="T528" s="216">
        <f t="shared" si="269"/>
        <v>2957464.22</v>
      </c>
      <c r="U528" s="217">
        <f t="shared" si="269"/>
        <v>2957464.22</v>
      </c>
      <c r="V528" s="216">
        <f t="shared" si="269"/>
        <v>2957464.22</v>
      </c>
      <c r="W528" s="215">
        <f t="shared" si="269"/>
        <v>0</v>
      </c>
      <c r="X528" s="215">
        <f t="shared" si="269"/>
        <v>0</v>
      </c>
      <c r="Y528" s="216">
        <f t="shared" si="269"/>
        <v>2957464.22</v>
      </c>
      <c r="Z528" s="217">
        <f t="shared" si="269"/>
        <v>2957464.22</v>
      </c>
      <c r="AA528" s="216">
        <f t="shared" si="269"/>
        <v>0</v>
      </c>
      <c r="AB528" s="216">
        <f t="shared" si="269"/>
        <v>2957464.22</v>
      </c>
    </row>
    <row r="529" spans="1:28" ht="25.5" x14ac:dyDescent="0.2">
      <c r="A529" s="213" t="s">
        <v>29</v>
      </c>
      <c r="B529" s="58" t="s">
        <v>110</v>
      </c>
      <c r="C529" s="134" t="s">
        <v>69</v>
      </c>
      <c r="D529" s="59" t="s">
        <v>72</v>
      </c>
      <c r="E529" s="103" t="s">
        <v>3</v>
      </c>
      <c r="F529" s="66">
        <v>1</v>
      </c>
      <c r="G529" s="66" t="s">
        <v>135</v>
      </c>
      <c r="H529" s="66" t="s">
        <v>135</v>
      </c>
      <c r="I529" s="66" t="s">
        <v>27</v>
      </c>
      <c r="J529" s="67" t="s">
        <v>135</v>
      </c>
      <c r="K529" s="309"/>
      <c r="L529" s="68">
        <f t="shared" si="268"/>
        <v>1708374</v>
      </c>
      <c r="M529" s="69">
        <f t="shared" si="268"/>
        <v>0</v>
      </c>
      <c r="N529" s="216">
        <f t="shared" si="268"/>
        <v>2957464.22</v>
      </c>
      <c r="O529" s="216">
        <f t="shared" si="268"/>
        <v>0</v>
      </c>
      <c r="P529" s="216">
        <f t="shared" si="268"/>
        <v>2957464.22</v>
      </c>
      <c r="Q529" s="215">
        <f t="shared" si="269"/>
        <v>2957464.22</v>
      </c>
      <c r="R529" s="216">
        <f t="shared" si="269"/>
        <v>0</v>
      </c>
      <c r="S529" s="216">
        <f t="shared" si="269"/>
        <v>0</v>
      </c>
      <c r="T529" s="216">
        <f t="shared" si="269"/>
        <v>2957464.22</v>
      </c>
      <c r="U529" s="217">
        <f t="shared" si="269"/>
        <v>2957464.22</v>
      </c>
      <c r="V529" s="216">
        <f t="shared" si="269"/>
        <v>2957464.22</v>
      </c>
      <c r="W529" s="215">
        <f t="shared" si="269"/>
        <v>0</v>
      </c>
      <c r="X529" s="215">
        <f t="shared" si="269"/>
        <v>0</v>
      </c>
      <c r="Y529" s="216">
        <f t="shared" si="269"/>
        <v>2957464.22</v>
      </c>
      <c r="Z529" s="217">
        <f t="shared" si="269"/>
        <v>2957464.22</v>
      </c>
      <c r="AA529" s="216">
        <f t="shared" si="269"/>
        <v>0</v>
      </c>
      <c r="AB529" s="216">
        <f t="shared" si="269"/>
        <v>2957464.22</v>
      </c>
    </row>
    <row r="530" spans="1:28" ht="51" x14ac:dyDescent="0.2">
      <c r="A530" s="212" t="s">
        <v>67</v>
      </c>
      <c r="B530" s="58" t="s">
        <v>110</v>
      </c>
      <c r="C530" s="134" t="s">
        <v>69</v>
      </c>
      <c r="D530" s="59" t="s">
        <v>72</v>
      </c>
      <c r="E530" s="103" t="s">
        <v>3</v>
      </c>
      <c r="F530" s="66" t="s">
        <v>137</v>
      </c>
      <c r="G530" s="66" t="s">
        <v>135</v>
      </c>
      <c r="H530" s="66" t="s">
        <v>135</v>
      </c>
      <c r="I530" s="66" t="s">
        <v>27</v>
      </c>
      <c r="J530" s="67" t="s">
        <v>135</v>
      </c>
      <c r="K530" s="309">
        <v>100</v>
      </c>
      <c r="L530" s="68">
        <f t="shared" si="268"/>
        <v>1708374</v>
      </c>
      <c r="M530" s="69">
        <f t="shared" si="268"/>
        <v>0</v>
      </c>
      <c r="N530" s="216">
        <f t="shared" si="268"/>
        <v>2957464.22</v>
      </c>
      <c r="O530" s="216">
        <f t="shared" si="268"/>
        <v>0</v>
      </c>
      <c r="P530" s="216">
        <f t="shared" si="268"/>
        <v>2957464.22</v>
      </c>
      <c r="Q530" s="215">
        <f t="shared" si="269"/>
        <v>2957464.22</v>
      </c>
      <c r="R530" s="216">
        <f t="shared" si="269"/>
        <v>0</v>
      </c>
      <c r="S530" s="216">
        <f t="shared" si="269"/>
        <v>0</v>
      </c>
      <c r="T530" s="216">
        <f t="shared" si="269"/>
        <v>2957464.22</v>
      </c>
      <c r="U530" s="217">
        <f t="shared" si="269"/>
        <v>2957464.22</v>
      </c>
      <c r="V530" s="216">
        <f t="shared" si="269"/>
        <v>2957464.22</v>
      </c>
      <c r="W530" s="215">
        <f t="shared" si="269"/>
        <v>0</v>
      </c>
      <c r="X530" s="215">
        <f t="shared" si="269"/>
        <v>0</v>
      </c>
      <c r="Y530" s="216">
        <f t="shared" si="269"/>
        <v>2957464.22</v>
      </c>
      <c r="Z530" s="217">
        <f t="shared" si="269"/>
        <v>2957464.22</v>
      </c>
      <c r="AA530" s="216">
        <f t="shared" si="269"/>
        <v>0</v>
      </c>
      <c r="AB530" s="216">
        <f t="shared" si="269"/>
        <v>2957464.22</v>
      </c>
    </row>
    <row r="531" spans="1:28" ht="25.5" x14ac:dyDescent="0.2">
      <c r="A531" s="212" t="s">
        <v>61</v>
      </c>
      <c r="B531" s="58" t="s">
        <v>110</v>
      </c>
      <c r="C531" s="134" t="s">
        <v>69</v>
      </c>
      <c r="D531" s="59" t="s">
        <v>72</v>
      </c>
      <c r="E531" s="103" t="s">
        <v>3</v>
      </c>
      <c r="F531" s="66" t="s">
        <v>137</v>
      </c>
      <c r="G531" s="66" t="s">
        <v>135</v>
      </c>
      <c r="H531" s="66" t="s">
        <v>135</v>
      </c>
      <c r="I531" s="66" t="s">
        <v>27</v>
      </c>
      <c r="J531" s="67" t="s">
        <v>135</v>
      </c>
      <c r="K531" s="309">
        <v>120</v>
      </c>
      <c r="L531" s="68">
        <v>1708374</v>
      </c>
      <c r="M531" s="69">
        <v>0</v>
      </c>
      <c r="N531" s="216">
        <v>2957464.22</v>
      </c>
      <c r="O531" s="216">
        <v>0</v>
      </c>
      <c r="P531" s="216">
        <v>2957464.22</v>
      </c>
      <c r="Q531" s="215">
        <v>2957464.22</v>
      </c>
      <c r="R531" s="216">
        <v>0</v>
      </c>
      <c r="S531" s="216">
        <v>0</v>
      </c>
      <c r="T531" s="216">
        <v>2957464.22</v>
      </c>
      <c r="U531" s="217">
        <v>2957464.22</v>
      </c>
      <c r="V531" s="216">
        <v>2957464.22</v>
      </c>
      <c r="W531" s="215">
        <v>0</v>
      </c>
      <c r="X531" s="215">
        <v>0</v>
      </c>
      <c r="Y531" s="216">
        <v>2957464.22</v>
      </c>
      <c r="Z531" s="217">
        <v>2957464.22</v>
      </c>
      <c r="AA531" s="216">
        <v>0</v>
      </c>
      <c r="AB531" s="216">
        <v>2957464.22</v>
      </c>
    </row>
    <row r="532" spans="1:28" x14ac:dyDescent="0.2">
      <c r="A532" s="226" t="s">
        <v>371</v>
      </c>
      <c r="B532" s="58" t="s">
        <v>110</v>
      </c>
      <c r="C532" s="134" t="s">
        <v>69</v>
      </c>
      <c r="D532" s="59" t="s">
        <v>72</v>
      </c>
      <c r="E532" s="104" t="s">
        <v>3</v>
      </c>
      <c r="F532" s="81" t="s">
        <v>133</v>
      </c>
      <c r="G532" s="66" t="s">
        <v>135</v>
      </c>
      <c r="H532" s="66" t="s">
        <v>135</v>
      </c>
      <c r="I532" s="81" t="s">
        <v>136</v>
      </c>
      <c r="J532" s="67" t="s">
        <v>135</v>
      </c>
      <c r="K532" s="292"/>
      <c r="L532" s="68">
        <f t="shared" ref="L532:AB532" si="270">L533</f>
        <v>1342900</v>
      </c>
      <c r="M532" s="69">
        <f t="shared" si="270"/>
        <v>0</v>
      </c>
      <c r="N532" s="216">
        <f t="shared" si="270"/>
        <v>1780173.98</v>
      </c>
      <c r="O532" s="216">
        <f t="shared" si="270"/>
        <v>0</v>
      </c>
      <c r="P532" s="216">
        <f t="shared" si="270"/>
        <v>1780173.98</v>
      </c>
      <c r="Q532" s="215">
        <f t="shared" si="270"/>
        <v>1780173.98</v>
      </c>
      <c r="R532" s="216">
        <f t="shared" si="270"/>
        <v>0</v>
      </c>
      <c r="S532" s="216">
        <f t="shared" si="270"/>
        <v>0</v>
      </c>
      <c r="T532" s="216">
        <f t="shared" si="270"/>
        <v>1780173.98</v>
      </c>
      <c r="U532" s="217">
        <f t="shared" si="270"/>
        <v>1780173.98</v>
      </c>
      <c r="V532" s="216">
        <f t="shared" si="270"/>
        <v>1780173.98</v>
      </c>
      <c r="W532" s="215">
        <f t="shared" si="270"/>
        <v>0</v>
      </c>
      <c r="X532" s="215">
        <f t="shared" si="270"/>
        <v>0</v>
      </c>
      <c r="Y532" s="216">
        <f t="shared" si="270"/>
        <v>1780173.98</v>
      </c>
      <c r="Z532" s="217">
        <f t="shared" si="270"/>
        <v>1780173.98</v>
      </c>
      <c r="AA532" s="216">
        <f t="shared" si="270"/>
        <v>0</v>
      </c>
      <c r="AB532" s="216">
        <f t="shared" si="270"/>
        <v>1780173.98</v>
      </c>
    </row>
    <row r="533" spans="1:28" ht="25.5" x14ac:dyDescent="0.2">
      <c r="A533" s="213" t="s">
        <v>29</v>
      </c>
      <c r="B533" s="58" t="s">
        <v>110</v>
      </c>
      <c r="C533" s="134" t="s">
        <v>69</v>
      </c>
      <c r="D533" s="59" t="s">
        <v>72</v>
      </c>
      <c r="E533" s="103" t="s">
        <v>3</v>
      </c>
      <c r="F533" s="66" t="s">
        <v>133</v>
      </c>
      <c r="G533" s="66" t="s">
        <v>135</v>
      </c>
      <c r="H533" s="66" t="s">
        <v>135</v>
      </c>
      <c r="I533" s="66" t="s">
        <v>27</v>
      </c>
      <c r="J533" s="67" t="s">
        <v>135</v>
      </c>
      <c r="K533" s="309"/>
      <c r="L533" s="68">
        <f t="shared" ref="L533:Z533" si="271">L534+L536</f>
        <v>1342900</v>
      </c>
      <c r="M533" s="69">
        <f t="shared" si="271"/>
        <v>0</v>
      </c>
      <c r="N533" s="216">
        <f t="shared" si="271"/>
        <v>1780173.98</v>
      </c>
      <c r="O533" s="216">
        <f t="shared" si="271"/>
        <v>0</v>
      </c>
      <c r="P533" s="216">
        <f t="shared" si="271"/>
        <v>1780173.98</v>
      </c>
      <c r="Q533" s="215">
        <f t="shared" si="271"/>
        <v>1780173.98</v>
      </c>
      <c r="R533" s="216">
        <f t="shared" si="271"/>
        <v>0</v>
      </c>
      <c r="S533" s="216">
        <f>S534+S536</f>
        <v>0</v>
      </c>
      <c r="T533" s="216">
        <f>T534+T536</f>
        <v>1780173.98</v>
      </c>
      <c r="U533" s="217">
        <f t="shared" si="271"/>
        <v>1780173.98</v>
      </c>
      <c r="V533" s="216">
        <f t="shared" si="271"/>
        <v>1780173.98</v>
      </c>
      <c r="W533" s="215">
        <f t="shared" si="271"/>
        <v>0</v>
      </c>
      <c r="X533" s="215">
        <f>X534+X536</f>
        <v>0</v>
      </c>
      <c r="Y533" s="216">
        <f>Y534+Y536</f>
        <v>1780173.98</v>
      </c>
      <c r="Z533" s="217">
        <f t="shared" si="271"/>
        <v>1780173.98</v>
      </c>
      <c r="AA533" s="216">
        <f>AA534+AA536</f>
        <v>0</v>
      </c>
      <c r="AB533" s="216">
        <f>AB534+AB536</f>
        <v>1780173.98</v>
      </c>
    </row>
    <row r="534" spans="1:28" ht="51" x14ac:dyDescent="0.2">
      <c r="A534" s="212" t="s">
        <v>67</v>
      </c>
      <c r="B534" s="58" t="s">
        <v>110</v>
      </c>
      <c r="C534" s="134" t="s">
        <v>69</v>
      </c>
      <c r="D534" s="59" t="s">
        <v>72</v>
      </c>
      <c r="E534" s="103" t="s">
        <v>3</v>
      </c>
      <c r="F534" s="66" t="s">
        <v>133</v>
      </c>
      <c r="G534" s="66" t="s">
        <v>135</v>
      </c>
      <c r="H534" s="66" t="s">
        <v>135</v>
      </c>
      <c r="I534" s="66" t="s">
        <v>27</v>
      </c>
      <c r="J534" s="67" t="s">
        <v>135</v>
      </c>
      <c r="K534" s="309">
        <v>100</v>
      </c>
      <c r="L534" s="68">
        <f t="shared" ref="L534:AB534" si="272">L535</f>
        <v>1153600</v>
      </c>
      <c r="M534" s="69">
        <f t="shared" si="272"/>
        <v>0</v>
      </c>
      <c r="N534" s="216">
        <f t="shared" si="272"/>
        <v>1710873.98</v>
      </c>
      <c r="O534" s="216">
        <f t="shared" si="272"/>
        <v>0</v>
      </c>
      <c r="P534" s="216">
        <f t="shared" si="272"/>
        <v>1710873.98</v>
      </c>
      <c r="Q534" s="215">
        <f t="shared" si="272"/>
        <v>1710873.98</v>
      </c>
      <c r="R534" s="216">
        <f t="shared" si="272"/>
        <v>0</v>
      </c>
      <c r="S534" s="216">
        <f t="shared" si="272"/>
        <v>0</v>
      </c>
      <c r="T534" s="216">
        <f t="shared" si="272"/>
        <v>1710873.98</v>
      </c>
      <c r="U534" s="217">
        <f t="shared" si="272"/>
        <v>1710873.98</v>
      </c>
      <c r="V534" s="216">
        <f t="shared" si="272"/>
        <v>1710873.98</v>
      </c>
      <c r="W534" s="215">
        <f t="shared" si="272"/>
        <v>0</v>
      </c>
      <c r="X534" s="215">
        <f t="shared" si="272"/>
        <v>0</v>
      </c>
      <c r="Y534" s="216">
        <f t="shared" si="272"/>
        <v>1710873.98</v>
      </c>
      <c r="Z534" s="217">
        <f t="shared" si="272"/>
        <v>1710873.98</v>
      </c>
      <c r="AA534" s="216">
        <f t="shared" si="272"/>
        <v>0</v>
      </c>
      <c r="AB534" s="216">
        <f t="shared" si="272"/>
        <v>1710873.98</v>
      </c>
    </row>
    <row r="535" spans="1:28" ht="25.5" x14ac:dyDescent="0.2">
      <c r="A535" s="212" t="s">
        <v>61</v>
      </c>
      <c r="B535" s="58" t="s">
        <v>110</v>
      </c>
      <c r="C535" s="134" t="s">
        <v>69</v>
      </c>
      <c r="D535" s="59" t="s">
        <v>72</v>
      </c>
      <c r="E535" s="103" t="s">
        <v>3</v>
      </c>
      <c r="F535" s="66" t="s">
        <v>133</v>
      </c>
      <c r="G535" s="66" t="s">
        <v>135</v>
      </c>
      <c r="H535" s="66" t="s">
        <v>135</v>
      </c>
      <c r="I535" s="66" t="s">
        <v>27</v>
      </c>
      <c r="J535" s="67" t="s">
        <v>135</v>
      </c>
      <c r="K535" s="309">
        <v>120</v>
      </c>
      <c r="L535" s="68">
        <v>1153600</v>
      </c>
      <c r="M535" s="69">
        <v>0</v>
      </c>
      <c r="N535" s="216">
        <v>1710873.98</v>
      </c>
      <c r="O535" s="216">
        <v>0</v>
      </c>
      <c r="P535" s="216">
        <v>1710873.98</v>
      </c>
      <c r="Q535" s="215">
        <v>1710873.98</v>
      </c>
      <c r="R535" s="216">
        <v>0</v>
      </c>
      <c r="S535" s="216">
        <v>0</v>
      </c>
      <c r="T535" s="216">
        <v>1710873.98</v>
      </c>
      <c r="U535" s="217">
        <v>1710873.98</v>
      </c>
      <c r="V535" s="216">
        <v>1710873.98</v>
      </c>
      <c r="W535" s="215">
        <v>0</v>
      </c>
      <c r="X535" s="215">
        <v>0</v>
      </c>
      <c r="Y535" s="216">
        <v>1710873.98</v>
      </c>
      <c r="Z535" s="217">
        <v>1710873.98</v>
      </c>
      <c r="AA535" s="216">
        <v>0</v>
      </c>
      <c r="AB535" s="216">
        <v>1710873.98</v>
      </c>
    </row>
    <row r="536" spans="1:28" ht="25.5" x14ac:dyDescent="0.2">
      <c r="A536" s="212" t="s">
        <v>52</v>
      </c>
      <c r="B536" s="58" t="s">
        <v>110</v>
      </c>
      <c r="C536" s="134" t="s">
        <v>69</v>
      </c>
      <c r="D536" s="59" t="s">
        <v>72</v>
      </c>
      <c r="E536" s="103" t="s">
        <v>3</v>
      </c>
      <c r="F536" s="66" t="s">
        <v>133</v>
      </c>
      <c r="G536" s="66" t="s">
        <v>135</v>
      </c>
      <c r="H536" s="66" t="s">
        <v>135</v>
      </c>
      <c r="I536" s="66" t="s">
        <v>27</v>
      </c>
      <c r="J536" s="67" t="s">
        <v>135</v>
      </c>
      <c r="K536" s="309" t="s">
        <v>53</v>
      </c>
      <c r="L536" s="68">
        <f t="shared" ref="L536:AB536" si="273">L537</f>
        <v>189300</v>
      </c>
      <c r="M536" s="69">
        <f t="shared" si="273"/>
        <v>0</v>
      </c>
      <c r="N536" s="216">
        <f t="shared" si="273"/>
        <v>69300</v>
      </c>
      <c r="O536" s="216">
        <f t="shared" si="273"/>
        <v>0</v>
      </c>
      <c r="P536" s="216">
        <f t="shared" si="273"/>
        <v>69300</v>
      </c>
      <c r="Q536" s="215">
        <f t="shared" si="273"/>
        <v>69300</v>
      </c>
      <c r="R536" s="216">
        <f t="shared" si="273"/>
        <v>0</v>
      </c>
      <c r="S536" s="216">
        <f t="shared" si="273"/>
        <v>0</v>
      </c>
      <c r="T536" s="216">
        <f t="shared" si="273"/>
        <v>69300</v>
      </c>
      <c r="U536" s="217">
        <f t="shared" si="273"/>
        <v>69300</v>
      </c>
      <c r="V536" s="216">
        <f t="shared" si="273"/>
        <v>69300</v>
      </c>
      <c r="W536" s="215">
        <f t="shared" si="273"/>
        <v>0</v>
      </c>
      <c r="X536" s="215">
        <f t="shared" si="273"/>
        <v>0</v>
      </c>
      <c r="Y536" s="216">
        <f t="shared" si="273"/>
        <v>69300</v>
      </c>
      <c r="Z536" s="217">
        <f t="shared" si="273"/>
        <v>69300</v>
      </c>
      <c r="AA536" s="216">
        <f t="shared" si="273"/>
        <v>0</v>
      </c>
      <c r="AB536" s="216">
        <f t="shared" si="273"/>
        <v>69300</v>
      </c>
    </row>
    <row r="537" spans="1:28" ht="25.5" x14ac:dyDescent="0.2">
      <c r="A537" s="212" t="s">
        <v>54</v>
      </c>
      <c r="B537" s="58" t="s">
        <v>110</v>
      </c>
      <c r="C537" s="134" t="s">
        <v>69</v>
      </c>
      <c r="D537" s="59" t="s">
        <v>72</v>
      </c>
      <c r="E537" s="103" t="s">
        <v>3</v>
      </c>
      <c r="F537" s="66" t="s">
        <v>133</v>
      </c>
      <c r="G537" s="66" t="s">
        <v>135</v>
      </c>
      <c r="H537" s="66" t="s">
        <v>135</v>
      </c>
      <c r="I537" s="66" t="s">
        <v>27</v>
      </c>
      <c r="J537" s="67" t="s">
        <v>135</v>
      </c>
      <c r="K537" s="309" t="s">
        <v>55</v>
      </c>
      <c r="L537" s="68">
        <v>189300</v>
      </c>
      <c r="M537" s="69">
        <v>0</v>
      </c>
      <c r="N537" s="216">
        <v>69300</v>
      </c>
      <c r="O537" s="216">
        <v>0</v>
      </c>
      <c r="P537" s="216">
        <v>69300</v>
      </c>
      <c r="Q537" s="215">
        <v>69300</v>
      </c>
      <c r="R537" s="216">
        <v>0</v>
      </c>
      <c r="S537" s="216">
        <v>0</v>
      </c>
      <c r="T537" s="216">
        <v>69300</v>
      </c>
      <c r="U537" s="217">
        <v>69300</v>
      </c>
      <c r="V537" s="216">
        <v>69300</v>
      </c>
      <c r="W537" s="215">
        <v>0</v>
      </c>
      <c r="X537" s="215">
        <v>0</v>
      </c>
      <c r="Y537" s="216">
        <v>69300</v>
      </c>
      <c r="Z537" s="217">
        <v>69300</v>
      </c>
      <c r="AA537" s="216">
        <v>0</v>
      </c>
      <c r="AB537" s="216">
        <v>69300</v>
      </c>
    </row>
    <row r="538" spans="1:28" x14ac:dyDescent="0.2">
      <c r="A538" s="207" t="s">
        <v>98</v>
      </c>
      <c r="B538" s="58" t="s">
        <v>110</v>
      </c>
      <c r="C538" s="59" t="s">
        <v>69</v>
      </c>
      <c r="D538" s="59" t="s">
        <v>120</v>
      </c>
      <c r="E538" s="58"/>
      <c r="F538" s="60"/>
      <c r="G538" s="66"/>
      <c r="H538" s="66"/>
      <c r="I538" s="60"/>
      <c r="J538" s="76"/>
      <c r="K538" s="408"/>
      <c r="L538" s="101">
        <f t="shared" ref="L538:P541" si="274">L539</f>
        <v>60000</v>
      </c>
      <c r="M538" s="102">
        <f t="shared" si="274"/>
        <v>0</v>
      </c>
      <c r="N538" s="248">
        <f t="shared" si="274"/>
        <v>0</v>
      </c>
      <c r="O538" s="248">
        <f t="shared" si="274"/>
        <v>0</v>
      </c>
      <c r="P538" s="248">
        <f t="shared" si="274"/>
        <v>0</v>
      </c>
      <c r="Q538" s="473">
        <f t="shared" ref="Q538:AB541" si="275">Q539</f>
        <v>80000</v>
      </c>
      <c r="R538" s="248">
        <f t="shared" si="275"/>
        <v>0</v>
      </c>
      <c r="S538" s="248">
        <f t="shared" si="275"/>
        <v>0</v>
      </c>
      <c r="T538" s="248">
        <f t="shared" si="275"/>
        <v>0</v>
      </c>
      <c r="U538" s="249">
        <f t="shared" si="275"/>
        <v>80000</v>
      </c>
      <c r="V538" s="248">
        <f t="shared" si="275"/>
        <v>80000</v>
      </c>
      <c r="W538" s="473">
        <f t="shared" si="275"/>
        <v>0</v>
      </c>
      <c r="X538" s="473">
        <f t="shared" si="275"/>
        <v>0</v>
      </c>
      <c r="Y538" s="248">
        <f t="shared" si="275"/>
        <v>80000</v>
      </c>
      <c r="Z538" s="249">
        <f t="shared" si="275"/>
        <v>80000</v>
      </c>
      <c r="AA538" s="248">
        <f t="shared" si="275"/>
        <v>0</v>
      </c>
      <c r="AB538" s="248">
        <f t="shared" si="275"/>
        <v>80000</v>
      </c>
    </row>
    <row r="539" spans="1:28" ht="25.5" x14ac:dyDescent="0.2">
      <c r="A539" s="258" t="s">
        <v>46</v>
      </c>
      <c r="B539" s="58" t="s">
        <v>110</v>
      </c>
      <c r="C539" s="59" t="s">
        <v>69</v>
      </c>
      <c r="D539" s="59" t="s">
        <v>120</v>
      </c>
      <c r="E539" s="103" t="s">
        <v>7</v>
      </c>
      <c r="F539" s="66" t="s">
        <v>135</v>
      </c>
      <c r="G539" s="66" t="s">
        <v>135</v>
      </c>
      <c r="H539" s="66" t="s">
        <v>135</v>
      </c>
      <c r="I539" s="66" t="s">
        <v>136</v>
      </c>
      <c r="J539" s="67" t="s">
        <v>135</v>
      </c>
      <c r="K539" s="408"/>
      <c r="L539" s="101">
        <f t="shared" si="274"/>
        <v>60000</v>
      </c>
      <c r="M539" s="102">
        <f t="shared" si="274"/>
        <v>0</v>
      </c>
      <c r="N539" s="248">
        <f t="shared" si="274"/>
        <v>0</v>
      </c>
      <c r="O539" s="248">
        <f t="shared" si="274"/>
        <v>0</v>
      </c>
      <c r="P539" s="248">
        <f t="shared" si="274"/>
        <v>0</v>
      </c>
      <c r="Q539" s="473">
        <f t="shared" si="275"/>
        <v>80000</v>
      </c>
      <c r="R539" s="248">
        <f t="shared" si="275"/>
        <v>0</v>
      </c>
      <c r="S539" s="248">
        <f t="shared" si="275"/>
        <v>0</v>
      </c>
      <c r="T539" s="248">
        <f t="shared" si="275"/>
        <v>0</v>
      </c>
      <c r="U539" s="249">
        <f t="shared" si="275"/>
        <v>80000</v>
      </c>
      <c r="V539" s="248">
        <f t="shared" si="275"/>
        <v>80000</v>
      </c>
      <c r="W539" s="473">
        <f t="shared" si="275"/>
        <v>0</v>
      </c>
      <c r="X539" s="473">
        <f t="shared" si="275"/>
        <v>0</v>
      </c>
      <c r="Y539" s="248">
        <f t="shared" si="275"/>
        <v>80000</v>
      </c>
      <c r="Z539" s="249">
        <f t="shared" si="275"/>
        <v>80000</v>
      </c>
      <c r="AA539" s="248">
        <f t="shared" si="275"/>
        <v>0</v>
      </c>
      <c r="AB539" s="248">
        <f t="shared" si="275"/>
        <v>80000</v>
      </c>
    </row>
    <row r="540" spans="1:28" ht="17.25" customHeight="1" x14ac:dyDescent="0.2">
      <c r="A540" s="207" t="s">
        <v>48</v>
      </c>
      <c r="B540" s="58" t="s">
        <v>110</v>
      </c>
      <c r="C540" s="59" t="s">
        <v>69</v>
      </c>
      <c r="D540" s="59" t="s">
        <v>120</v>
      </c>
      <c r="E540" s="103" t="s">
        <v>7</v>
      </c>
      <c r="F540" s="66" t="s">
        <v>135</v>
      </c>
      <c r="G540" s="66" t="s">
        <v>135</v>
      </c>
      <c r="H540" s="66" t="s">
        <v>135</v>
      </c>
      <c r="I540" s="66" t="s">
        <v>8</v>
      </c>
      <c r="J540" s="67" t="s">
        <v>135</v>
      </c>
      <c r="K540" s="309"/>
      <c r="L540" s="68">
        <f t="shared" si="274"/>
        <v>60000</v>
      </c>
      <c r="M540" s="69">
        <f t="shared" si="274"/>
        <v>0</v>
      </c>
      <c r="N540" s="216">
        <f t="shared" si="274"/>
        <v>0</v>
      </c>
      <c r="O540" s="216">
        <f t="shared" si="274"/>
        <v>0</v>
      </c>
      <c r="P540" s="216">
        <f t="shared" si="274"/>
        <v>0</v>
      </c>
      <c r="Q540" s="215">
        <f t="shared" si="275"/>
        <v>80000</v>
      </c>
      <c r="R540" s="216">
        <f t="shared" si="275"/>
        <v>0</v>
      </c>
      <c r="S540" s="216">
        <f t="shared" si="275"/>
        <v>0</v>
      </c>
      <c r="T540" s="216">
        <f t="shared" si="275"/>
        <v>0</v>
      </c>
      <c r="U540" s="217">
        <f t="shared" si="275"/>
        <v>80000</v>
      </c>
      <c r="V540" s="216">
        <f t="shared" si="275"/>
        <v>80000</v>
      </c>
      <c r="W540" s="215">
        <f t="shared" si="275"/>
        <v>0</v>
      </c>
      <c r="X540" s="215">
        <f t="shared" si="275"/>
        <v>0</v>
      </c>
      <c r="Y540" s="216">
        <f t="shared" si="275"/>
        <v>80000</v>
      </c>
      <c r="Z540" s="217">
        <f t="shared" si="275"/>
        <v>80000</v>
      </c>
      <c r="AA540" s="216">
        <f t="shared" si="275"/>
        <v>0</v>
      </c>
      <c r="AB540" s="216">
        <f t="shared" si="275"/>
        <v>80000</v>
      </c>
    </row>
    <row r="541" spans="1:28" ht="25.5" x14ac:dyDescent="0.2">
      <c r="A541" s="212" t="s">
        <v>52</v>
      </c>
      <c r="B541" s="58" t="s">
        <v>110</v>
      </c>
      <c r="C541" s="59" t="s">
        <v>69</v>
      </c>
      <c r="D541" s="59" t="s">
        <v>120</v>
      </c>
      <c r="E541" s="103" t="s">
        <v>7</v>
      </c>
      <c r="F541" s="66" t="s">
        <v>135</v>
      </c>
      <c r="G541" s="66" t="s">
        <v>135</v>
      </c>
      <c r="H541" s="66" t="s">
        <v>135</v>
      </c>
      <c r="I541" s="66" t="s">
        <v>8</v>
      </c>
      <c r="J541" s="67" t="s">
        <v>135</v>
      </c>
      <c r="K541" s="309">
        <v>200</v>
      </c>
      <c r="L541" s="68">
        <f t="shared" si="274"/>
        <v>60000</v>
      </c>
      <c r="M541" s="69">
        <f t="shared" si="274"/>
        <v>0</v>
      </c>
      <c r="N541" s="216">
        <f t="shared" si="274"/>
        <v>0</v>
      </c>
      <c r="O541" s="216">
        <f t="shared" si="274"/>
        <v>0</v>
      </c>
      <c r="P541" s="216">
        <f t="shared" si="274"/>
        <v>0</v>
      </c>
      <c r="Q541" s="215">
        <f t="shared" si="275"/>
        <v>80000</v>
      </c>
      <c r="R541" s="216">
        <f t="shared" si="275"/>
        <v>0</v>
      </c>
      <c r="S541" s="216">
        <f t="shared" si="275"/>
        <v>0</v>
      </c>
      <c r="T541" s="216">
        <f t="shared" si="275"/>
        <v>0</v>
      </c>
      <c r="U541" s="217">
        <f t="shared" si="275"/>
        <v>80000</v>
      </c>
      <c r="V541" s="216">
        <f t="shared" si="275"/>
        <v>80000</v>
      </c>
      <c r="W541" s="215">
        <f t="shared" si="275"/>
        <v>0</v>
      </c>
      <c r="X541" s="215">
        <f t="shared" si="275"/>
        <v>0</v>
      </c>
      <c r="Y541" s="216">
        <f t="shared" si="275"/>
        <v>80000</v>
      </c>
      <c r="Z541" s="217">
        <f t="shared" si="275"/>
        <v>80000</v>
      </c>
      <c r="AA541" s="216">
        <f t="shared" si="275"/>
        <v>0</v>
      </c>
      <c r="AB541" s="216">
        <f t="shared" si="275"/>
        <v>80000</v>
      </c>
    </row>
    <row r="542" spans="1:28" ht="25.5" x14ac:dyDescent="0.2">
      <c r="A542" s="280" t="s">
        <v>54</v>
      </c>
      <c r="B542" s="128" t="s">
        <v>110</v>
      </c>
      <c r="C542" s="127" t="s">
        <v>69</v>
      </c>
      <c r="D542" s="127" t="s">
        <v>120</v>
      </c>
      <c r="E542" s="129" t="s">
        <v>7</v>
      </c>
      <c r="F542" s="88" t="s">
        <v>135</v>
      </c>
      <c r="G542" s="88" t="s">
        <v>135</v>
      </c>
      <c r="H542" s="88" t="s">
        <v>135</v>
      </c>
      <c r="I542" s="88" t="s">
        <v>8</v>
      </c>
      <c r="J542" s="90" t="s">
        <v>135</v>
      </c>
      <c r="K542" s="306">
        <v>240</v>
      </c>
      <c r="L542" s="91">
        <v>60000</v>
      </c>
      <c r="M542" s="92">
        <v>0</v>
      </c>
      <c r="N542" s="327">
        <v>0</v>
      </c>
      <c r="O542" s="327">
        <v>0</v>
      </c>
      <c r="P542" s="327">
        <v>0</v>
      </c>
      <c r="Q542" s="326">
        <v>80000</v>
      </c>
      <c r="R542" s="327">
        <v>0</v>
      </c>
      <c r="S542" s="327">
        <v>0</v>
      </c>
      <c r="T542" s="327">
        <v>0</v>
      </c>
      <c r="U542" s="328">
        <v>80000</v>
      </c>
      <c r="V542" s="327">
        <v>80000</v>
      </c>
      <c r="W542" s="326">
        <v>0</v>
      </c>
      <c r="X542" s="326">
        <v>0</v>
      </c>
      <c r="Y542" s="327">
        <v>80000</v>
      </c>
      <c r="Z542" s="328">
        <v>80000</v>
      </c>
      <c r="AA542" s="327">
        <v>0</v>
      </c>
      <c r="AB542" s="327">
        <v>80000</v>
      </c>
    </row>
    <row r="543" spans="1:28" s="100" customFormat="1" ht="30" customHeight="1" x14ac:dyDescent="0.2">
      <c r="A543" s="402" t="s">
        <v>317</v>
      </c>
      <c r="B543" s="438" t="s">
        <v>118</v>
      </c>
      <c r="C543" s="135"/>
      <c r="D543" s="140"/>
      <c r="E543" s="140"/>
      <c r="F543" s="136"/>
      <c r="G543" s="97"/>
      <c r="H543" s="97"/>
      <c r="I543" s="136"/>
      <c r="J543" s="137"/>
      <c r="K543" s="439"/>
      <c r="L543" s="98" t="e">
        <f>L544+L569+L583+L646+#REF!</f>
        <v>#REF!</v>
      </c>
      <c r="M543" s="99" t="e">
        <f>M544+M569+M583+M646+#REF!</f>
        <v>#REF!</v>
      </c>
      <c r="N543" s="426">
        <f t="shared" ref="N543:AB543" si="276">N544+N569+N583+N646</f>
        <v>30457400.300000001</v>
      </c>
      <c r="O543" s="426">
        <f t="shared" si="276"/>
        <v>151690.54000000004</v>
      </c>
      <c r="P543" s="426">
        <f t="shared" si="276"/>
        <v>50019420.420000002</v>
      </c>
      <c r="Q543" s="472">
        <f t="shared" si="276"/>
        <v>98456515.99000001</v>
      </c>
      <c r="R543" s="426">
        <f t="shared" si="276"/>
        <v>-1470873.99</v>
      </c>
      <c r="S543" s="426">
        <f t="shared" si="276"/>
        <v>3934218.51</v>
      </c>
      <c r="T543" s="426">
        <f t="shared" si="276"/>
        <v>53953638.93</v>
      </c>
      <c r="U543" s="480">
        <f t="shared" si="276"/>
        <v>105831731.47</v>
      </c>
      <c r="V543" s="426">
        <f t="shared" si="276"/>
        <v>76703550.890000001</v>
      </c>
      <c r="W543" s="472">
        <f t="shared" si="276"/>
        <v>-1470873.99</v>
      </c>
      <c r="X543" s="472">
        <f t="shared" si="276"/>
        <v>34747</v>
      </c>
      <c r="Y543" s="426">
        <f t="shared" si="276"/>
        <v>105866478.47</v>
      </c>
      <c r="Z543" s="480">
        <f t="shared" si="276"/>
        <v>91041422.159999996</v>
      </c>
      <c r="AA543" s="426">
        <f t="shared" si="276"/>
        <v>34747</v>
      </c>
      <c r="AB543" s="426">
        <f t="shared" si="276"/>
        <v>91076169.159999996</v>
      </c>
    </row>
    <row r="544" spans="1:28" x14ac:dyDescent="0.2">
      <c r="A544" s="400" t="s">
        <v>84</v>
      </c>
      <c r="B544" s="58" t="s">
        <v>118</v>
      </c>
      <c r="C544" s="78" t="s">
        <v>69</v>
      </c>
      <c r="D544" s="77"/>
      <c r="E544" s="77"/>
      <c r="F544" s="79"/>
      <c r="G544" s="66"/>
      <c r="H544" s="66"/>
      <c r="I544" s="79"/>
      <c r="J544" s="80"/>
      <c r="K544" s="291"/>
      <c r="L544" s="101" t="e">
        <f t="shared" ref="L544:AB544" si="277">L545</f>
        <v>#REF!</v>
      </c>
      <c r="M544" s="102" t="e">
        <f t="shared" si="277"/>
        <v>#REF!</v>
      </c>
      <c r="N544" s="248">
        <f t="shared" si="277"/>
        <v>29500977.300000001</v>
      </c>
      <c r="O544" s="248">
        <f t="shared" si="277"/>
        <v>-726873.99</v>
      </c>
      <c r="P544" s="248">
        <f t="shared" si="277"/>
        <v>28875140.190000001</v>
      </c>
      <c r="Q544" s="473">
        <f t="shared" si="277"/>
        <v>34901367.640000001</v>
      </c>
      <c r="R544" s="248">
        <f t="shared" si="277"/>
        <v>-1470873.99</v>
      </c>
      <c r="S544" s="248">
        <f t="shared" si="277"/>
        <v>149990.96</v>
      </c>
      <c r="T544" s="248">
        <f t="shared" si="277"/>
        <v>29025131.149999999</v>
      </c>
      <c r="U544" s="249">
        <f t="shared" si="277"/>
        <v>33430493.650000002</v>
      </c>
      <c r="V544" s="248">
        <f t="shared" si="277"/>
        <v>34956737.950000003</v>
      </c>
      <c r="W544" s="473">
        <f t="shared" si="277"/>
        <v>-1470873.99</v>
      </c>
      <c r="X544" s="473">
        <f t="shared" si="277"/>
        <v>0</v>
      </c>
      <c r="Y544" s="248">
        <f t="shared" si="277"/>
        <v>33430493.649999999</v>
      </c>
      <c r="Z544" s="249">
        <f t="shared" si="277"/>
        <v>33485863.960000001</v>
      </c>
      <c r="AA544" s="248">
        <f t="shared" si="277"/>
        <v>0</v>
      </c>
      <c r="AB544" s="248">
        <f t="shared" si="277"/>
        <v>33485863.960000001</v>
      </c>
    </row>
    <row r="545" spans="1:28" x14ac:dyDescent="0.2">
      <c r="A545" s="207" t="s">
        <v>98</v>
      </c>
      <c r="B545" s="58" t="s">
        <v>118</v>
      </c>
      <c r="C545" s="59" t="s">
        <v>69</v>
      </c>
      <c r="D545" s="58" t="s">
        <v>120</v>
      </c>
      <c r="E545" s="58"/>
      <c r="F545" s="60"/>
      <c r="G545" s="66"/>
      <c r="H545" s="66"/>
      <c r="I545" s="60"/>
      <c r="J545" s="76"/>
      <c r="K545" s="408"/>
      <c r="L545" s="101" t="e">
        <f t="shared" ref="L545:Z545" si="278">L559+L550+L546</f>
        <v>#REF!</v>
      </c>
      <c r="M545" s="102" t="e">
        <f t="shared" si="278"/>
        <v>#REF!</v>
      </c>
      <c r="N545" s="248">
        <f t="shared" si="278"/>
        <v>29500977.300000001</v>
      </c>
      <c r="O545" s="248">
        <f t="shared" si="278"/>
        <v>-726873.99</v>
      </c>
      <c r="P545" s="248">
        <f t="shared" si="278"/>
        <v>28875140.190000001</v>
      </c>
      <c r="Q545" s="473">
        <f t="shared" si="278"/>
        <v>34901367.640000001</v>
      </c>
      <c r="R545" s="248">
        <f t="shared" si="278"/>
        <v>-1470873.99</v>
      </c>
      <c r="S545" s="248">
        <f>S559+S550+S546</f>
        <v>149990.96</v>
      </c>
      <c r="T545" s="248">
        <f>T559+T550+T546</f>
        <v>29025131.149999999</v>
      </c>
      <c r="U545" s="249">
        <f t="shared" si="278"/>
        <v>33430493.650000002</v>
      </c>
      <c r="V545" s="248">
        <f t="shared" si="278"/>
        <v>34956737.950000003</v>
      </c>
      <c r="W545" s="473">
        <f t="shared" si="278"/>
        <v>-1470873.99</v>
      </c>
      <c r="X545" s="473">
        <f>X559+X550+X546</f>
        <v>0</v>
      </c>
      <c r="Y545" s="248">
        <f>Y559+Y550+Y546</f>
        <v>33430493.649999999</v>
      </c>
      <c r="Z545" s="249">
        <f t="shared" si="278"/>
        <v>33485863.960000001</v>
      </c>
      <c r="AA545" s="248">
        <f>AA559+AA550+AA546</f>
        <v>0</v>
      </c>
      <c r="AB545" s="248">
        <f>AB559+AB550+AB546</f>
        <v>33485863.960000001</v>
      </c>
    </row>
    <row r="546" spans="1:28" ht="38.25" x14ac:dyDescent="0.2">
      <c r="A546" s="226" t="s">
        <v>330</v>
      </c>
      <c r="B546" s="58" t="s">
        <v>118</v>
      </c>
      <c r="C546" s="59" t="s">
        <v>69</v>
      </c>
      <c r="D546" s="58" t="s">
        <v>120</v>
      </c>
      <c r="E546" s="103" t="s">
        <v>76</v>
      </c>
      <c r="F546" s="66" t="s">
        <v>135</v>
      </c>
      <c r="G546" s="66" t="s">
        <v>135</v>
      </c>
      <c r="H546" s="66" t="s">
        <v>135</v>
      </c>
      <c r="I546" s="66" t="s">
        <v>136</v>
      </c>
      <c r="J546" s="67" t="s">
        <v>135</v>
      </c>
      <c r="K546" s="309"/>
      <c r="L546" s="68" t="e">
        <f>#REF!</f>
        <v>#REF!</v>
      </c>
      <c r="M546" s="69" t="e">
        <f>#REF!</f>
        <v>#REF!</v>
      </c>
      <c r="N546" s="216">
        <f t="shared" ref="N546:AB548" si="279">N547</f>
        <v>544000</v>
      </c>
      <c r="O546" s="216">
        <f t="shared" si="279"/>
        <v>0</v>
      </c>
      <c r="P546" s="216">
        <f t="shared" si="279"/>
        <v>544000</v>
      </c>
      <c r="Q546" s="215">
        <f t="shared" si="279"/>
        <v>600000</v>
      </c>
      <c r="R546" s="216">
        <f t="shared" si="279"/>
        <v>0</v>
      </c>
      <c r="S546" s="216">
        <f t="shared" si="279"/>
        <v>0</v>
      </c>
      <c r="T546" s="216">
        <f t="shared" si="279"/>
        <v>544000</v>
      </c>
      <c r="U546" s="217">
        <f t="shared" si="279"/>
        <v>600000</v>
      </c>
      <c r="V546" s="216">
        <f t="shared" si="279"/>
        <v>600000</v>
      </c>
      <c r="W546" s="215">
        <f t="shared" si="279"/>
        <v>0</v>
      </c>
      <c r="X546" s="215">
        <f t="shared" si="279"/>
        <v>0</v>
      </c>
      <c r="Y546" s="216">
        <f t="shared" si="279"/>
        <v>600000</v>
      </c>
      <c r="Z546" s="217">
        <f t="shared" si="279"/>
        <v>600000</v>
      </c>
      <c r="AA546" s="216">
        <f t="shared" si="279"/>
        <v>0</v>
      </c>
      <c r="AB546" s="216">
        <f t="shared" si="279"/>
        <v>600000</v>
      </c>
    </row>
    <row r="547" spans="1:28" ht="25.5" x14ac:dyDescent="0.2">
      <c r="A547" s="207" t="s">
        <v>47</v>
      </c>
      <c r="B547" s="58" t="s">
        <v>118</v>
      </c>
      <c r="C547" s="59" t="s">
        <v>69</v>
      </c>
      <c r="D547" s="58" t="s">
        <v>120</v>
      </c>
      <c r="E547" s="117" t="s">
        <v>76</v>
      </c>
      <c r="F547" s="72" t="s">
        <v>135</v>
      </c>
      <c r="G547" s="66" t="s">
        <v>135</v>
      </c>
      <c r="H547" s="66" t="s">
        <v>135</v>
      </c>
      <c r="I547" s="72" t="s">
        <v>16</v>
      </c>
      <c r="J547" s="67" t="s">
        <v>135</v>
      </c>
      <c r="K547" s="309"/>
      <c r="L547" s="68">
        <f t="shared" ref="L547:P548" si="280">L548</f>
        <v>600000</v>
      </c>
      <c r="M547" s="69">
        <f t="shared" si="280"/>
        <v>0</v>
      </c>
      <c r="N547" s="216">
        <f t="shared" si="279"/>
        <v>544000</v>
      </c>
      <c r="O547" s="216">
        <f t="shared" si="279"/>
        <v>0</v>
      </c>
      <c r="P547" s="216">
        <f t="shared" si="279"/>
        <v>544000</v>
      </c>
      <c r="Q547" s="215">
        <f t="shared" si="279"/>
        <v>600000</v>
      </c>
      <c r="R547" s="216">
        <f t="shared" si="279"/>
        <v>0</v>
      </c>
      <c r="S547" s="216">
        <f t="shared" si="279"/>
        <v>0</v>
      </c>
      <c r="T547" s="216">
        <f t="shared" si="279"/>
        <v>544000</v>
      </c>
      <c r="U547" s="217">
        <f t="shared" si="279"/>
        <v>600000</v>
      </c>
      <c r="V547" s="216">
        <f t="shared" si="279"/>
        <v>600000</v>
      </c>
      <c r="W547" s="215">
        <f t="shared" si="279"/>
        <v>0</v>
      </c>
      <c r="X547" s="215">
        <f t="shared" si="279"/>
        <v>0</v>
      </c>
      <c r="Y547" s="216">
        <f t="shared" si="279"/>
        <v>600000</v>
      </c>
      <c r="Z547" s="217">
        <f t="shared" si="279"/>
        <v>600000</v>
      </c>
      <c r="AA547" s="216">
        <f t="shared" si="279"/>
        <v>0</v>
      </c>
      <c r="AB547" s="216">
        <f t="shared" si="279"/>
        <v>600000</v>
      </c>
    </row>
    <row r="548" spans="1:28" ht="25.5" x14ac:dyDescent="0.2">
      <c r="A548" s="212" t="s">
        <v>52</v>
      </c>
      <c r="B548" s="58" t="s">
        <v>118</v>
      </c>
      <c r="C548" s="59" t="s">
        <v>69</v>
      </c>
      <c r="D548" s="58" t="s">
        <v>120</v>
      </c>
      <c r="E548" s="117" t="s">
        <v>76</v>
      </c>
      <c r="F548" s="72" t="s">
        <v>135</v>
      </c>
      <c r="G548" s="66" t="s">
        <v>135</v>
      </c>
      <c r="H548" s="66" t="s">
        <v>135</v>
      </c>
      <c r="I548" s="72" t="s">
        <v>16</v>
      </c>
      <c r="J548" s="67" t="s">
        <v>135</v>
      </c>
      <c r="K548" s="309">
        <v>200</v>
      </c>
      <c r="L548" s="68">
        <f t="shared" si="280"/>
        <v>600000</v>
      </c>
      <c r="M548" s="69">
        <f t="shared" si="280"/>
        <v>0</v>
      </c>
      <c r="N548" s="216">
        <f t="shared" si="280"/>
        <v>544000</v>
      </c>
      <c r="O548" s="216">
        <f t="shared" si="280"/>
        <v>0</v>
      </c>
      <c r="P548" s="216">
        <f t="shared" si="280"/>
        <v>544000</v>
      </c>
      <c r="Q548" s="215">
        <f t="shared" ref="Q548:AB548" si="281">Q549</f>
        <v>600000</v>
      </c>
      <c r="R548" s="216">
        <f t="shared" si="281"/>
        <v>0</v>
      </c>
      <c r="S548" s="216">
        <f t="shared" si="279"/>
        <v>0</v>
      </c>
      <c r="T548" s="216">
        <f t="shared" si="279"/>
        <v>544000</v>
      </c>
      <c r="U548" s="217">
        <f t="shared" si="281"/>
        <v>600000</v>
      </c>
      <c r="V548" s="216">
        <f t="shared" si="281"/>
        <v>600000</v>
      </c>
      <c r="W548" s="215">
        <f t="shared" si="281"/>
        <v>0</v>
      </c>
      <c r="X548" s="215">
        <f t="shared" si="281"/>
        <v>0</v>
      </c>
      <c r="Y548" s="216">
        <f t="shared" si="281"/>
        <v>600000</v>
      </c>
      <c r="Z548" s="217">
        <f t="shared" si="281"/>
        <v>600000</v>
      </c>
      <c r="AA548" s="216">
        <f t="shared" si="281"/>
        <v>0</v>
      </c>
      <c r="AB548" s="216">
        <f t="shared" si="281"/>
        <v>600000</v>
      </c>
    </row>
    <row r="549" spans="1:28" ht="25.5" x14ac:dyDescent="0.2">
      <c r="A549" s="212" t="s">
        <v>54</v>
      </c>
      <c r="B549" s="58" t="s">
        <v>118</v>
      </c>
      <c r="C549" s="59" t="s">
        <v>69</v>
      </c>
      <c r="D549" s="58" t="s">
        <v>120</v>
      </c>
      <c r="E549" s="117" t="s">
        <v>76</v>
      </c>
      <c r="F549" s="72" t="s">
        <v>135</v>
      </c>
      <c r="G549" s="66" t="s">
        <v>135</v>
      </c>
      <c r="H549" s="66" t="s">
        <v>135</v>
      </c>
      <c r="I549" s="72" t="s">
        <v>16</v>
      </c>
      <c r="J549" s="67" t="s">
        <v>135</v>
      </c>
      <c r="K549" s="309">
        <v>240</v>
      </c>
      <c r="L549" s="68">
        <v>600000</v>
      </c>
      <c r="M549" s="69">
        <v>0</v>
      </c>
      <c r="N549" s="216">
        <v>544000</v>
      </c>
      <c r="O549" s="216">
        <v>0</v>
      </c>
      <c r="P549" s="216">
        <v>544000</v>
      </c>
      <c r="Q549" s="215">
        <v>600000</v>
      </c>
      <c r="R549" s="216">
        <v>0</v>
      </c>
      <c r="S549" s="216">
        <v>0</v>
      </c>
      <c r="T549" s="216">
        <v>544000</v>
      </c>
      <c r="U549" s="217">
        <v>600000</v>
      </c>
      <c r="V549" s="216">
        <v>600000</v>
      </c>
      <c r="W549" s="215">
        <v>0</v>
      </c>
      <c r="X549" s="215">
        <v>0</v>
      </c>
      <c r="Y549" s="216">
        <v>600000</v>
      </c>
      <c r="Z549" s="217">
        <v>600000</v>
      </c>
      <c r="AA549" s="216">
        <v>0</v>
      </c>
      <c r="AB549" s="216">
        <v>600000</v>
      </c>
    </row>
    <row r="550" spans="1:28" ht="38.25" x14ac:dyDescent="0.2">
      <c r="A550" s="226" t="s">
        <v>327</v>
      </c>
      <c r="B550" s="58" t="s">
        <v>118</v>
      </c>
      <c r="C550" s="59" t="s">
        <v>69</v>
      </c>
      <c r="D550" s="58" t="s">
        <v>120</v>
      </c>
      <c r="E550" s="117" t="s">
        <v>157</v>
      </c>
      <c r="F550" s="72" t="s">
        <v>135</v>
      </c>
      <c r="G550" s="66" t="s">
        <v>135</v>
      </c>
      <c r="H550" s="66" t="s">
        <v>135</v>
      </c>
      <c r="I550" s="72" t="s">
        <v>136</v>
      </c>
      <c r="J550" s="67" t="s">
        <v>135</v>
      </c>
      <c r="K550" s="309"/>
      <c r="L550" s="101">
        <f>L551</f>
        <v>6990162.1600000001</v>
      </c>
      <c r="M550" s="102">
        <f>M551</f>
        <v>-4736052.88</v>
      </c>
      <c r="N550" s="248">
        <f>N551+N556</f>
        <v>56000</v>
      </c>
      <c r="O550" s="248">
        <f t="shared" ref="O550:Z550" si="282">O551+O556</f>
        <v>744000</v>
      </c>
      <c r="P550" s="248">
        <f t="shared" si="282"/>
        <v>901036.88</v>
      </c>
      <c r="Q550" s="248">
        <f t="shared" si="282"/>
        <v>5400390.3399999999</v>
      </c>
      <c r="R550" s="248">
        <f t="shared" si="282"/>
        <v>0</v>
      </c>
      <c r="S550" s="248">
        <f>S551+S556</f>
        <v>254990.96</v>
      </c>
      <c r="T550" s="248">
        <f>T551+T556</f>
        <v>1156027.8399999999</v>
      </c>
      <c r="U550" s="249">
        <f t="shared" si="282"/>
        <v>5400390.3399999999</v>
      </c>
      <c r="V550" s="248">
        <f t="shared" si="282"/>
        <v>5455760.6500000004</v>
      </c>
      <c r="W550" s="473">
        <f t="shared" si="282"/>
        <v>0</v>
      </c>
      <c r="X550" s="473">
        <f>X551+X556</f>
        <v>0</v>
      </c>
      <c r="Y550" s="248">
        <f>Y551+Y556</f>
        <v>5400390.3399999999</v>
      </c>
      <c r="Z550" s="249">
        <f t="shared" si="282"/>
        <v>5455760.6500000004</v>
      </c>
      <c r="AA550" s="248">
        <f>AA551+AA556</f>
        <v>0</v>
      </c>
      <c r="AB550" s="248">
        <f>AB551+AB556</f>
        <v>5455760.6500000004</v>
      </c>
    </row>
    <row r="551" spans="1:28" ht="25.5" x14ac:dyDescent="0.2">
      <c r="A551" s="207" t="s">
        <v>47</v>
      </c>
      <c r="B551" s="58" t="s">
        <v>118</v>
      </c>
      <c r="C551" s="59" t="s">
        <v>69</v>
      </c>
      <c r="D551" s="58" t="s">
        <v>120</v>
      </c>
      <c r="E551" s="117" t="s">
        <v>157</v>
      </c>
      <c r="F551" s="72" t="s">
        <v>135</v>
      </c>
      <c r="G551" s="66" t="s">
        <v>135</v>
      </c>
      <c r="H551" s="66" t="s">
        <v>135</v>
      </c>
      <c r="I551" s="72" t="s">
        <v>16</v>
      </c>
      <c r="J551" s="67" t="s">
        <v>135</v>
      </c>
      <c r="K551" s="309"/>
      <c r="L551" s="101">
        <f t="shared" ref="L551:Z551" si="283">L552+L554</f>
        <v>6990162.1600000001</v>
      </c>
      <c r="M551" s="102">
        <f t="shared" si="283"/>
        <v>-4736052.88</v>
      </c>
      <c r="N551" s="248">
        <f t="shared" si="283"/>
        <v>56000</v>
      </c>
      <c r="O551" s="248">
        <f t="shared" si="283"/>
        <v>-56000</v>
      </c>
      <c r="P551" s="248">
        <f t="shared" si="283"/>
        <v>101036.88</v>
      </c>
      <c r="Q551" s="473">
        <f t="shared" si="283"/>
        <v>5400390.3399999999</v>
      </c>
      <c r="R551" s="248">
        <f t="shared" si="283"/>
        <v>0</v>
      </c>
      <c r="S551" s="248">
        <f>S552+S554</f>
        <v>254990.96</v>
      </c>
      <c r="T551" s="248">
        <f>T552+T554</f>
        <v>356027.83999999997</v>
      </c>
      <c r="U551" s="249">
        <f t="shared" si="283"/>
        <v>5400390.3399999999</v>
      </c>
      <c r="V551" s="248">
        <f t="shared" si="283"/>
        <v>5455760.6500000004</v>
      </c>
      <c r="W551" s="473">
        <f t="shared" si="283"/>
        <v>0</v>
      </c>
      <c r="X551" s="473">
        <f>X552+X554</f>
        <v>0</v>
      </c>
      <c r="Y551" s="248">
        <f>Y552+Y554</f>
        <v>5400390.3399999999</v>
      </c>
      <c r="Z551" s="249">
        <f t="shared" si="283"/>
        <v>5455760.6500000004</v>
      </c>
      <c r="AA551" s="248">
        <f>AA552+AA554</f>
        <v>0</v>
      </c>
      <c r="AB551" s="248">
        <f>AB552+AB554</f>
        <v>5455760.6500000004</v>
      </c>
    </row>
    <row r="552" spans="1:28" ht="25.5" x14ac:dyDescent="0.2">
      <c r="A552" s="212" t="s">
        <v>52</v>
      </c>
      <c r="B552" s="58" t="s">
        <v>118</v>
      </c>
      <c r="C552" s="59" t="s">
        <v>69</v>
      </c>
      <c r="D552" s="58" t="s">
        <v>120</v>
      </c>
      <c r="E552" s="117" t="s">
        <v>157</v>
      </c>
      <c r="F552" s="72" t="s">
        <v>135</v>
      </c>
      <c r="G552" s="66" t="s">
        <v>135</v>
      </c>
      <c r="H552" s="66" t="s">
        <v>135</v>
      </c>
      <c r="I552" s="72" t="s">
        <v>16</v>
      </c>
      <c r="J552" s="67" t="s">
        <v>135</v>
      </c>
      <c r="K552" s="214">
        <v>200</v>
      </c>
      <c r="L552" s="101">
        <f t="shared" ref="L552:AB552" si="284">L553</f>
        <v>6920162.1600000001</v>
      </c>
      <c r="M552" s="102">
        <f t="shared" si="284"/>
        <v>-4736052.88</v>
      </c>
      <c r="N552" s="248">
        <f t="shared" si="284"/>
        <v>56000</v>
      </c>
      <c r="O552" s="248">
        <f t="shared" si="284"/>
        <v>-56000</v>
      </c>
      <c r="P552" s="248">
        <f t="shared" si="284"/>
        <v>31036.880000000001</v>
      </c>
      <c r="Q552" s="473">
        <f t="shared" si="284"/>
        <v>5330390.34</v>
      </c>
      <c r="R552" s="248">
        <f t="shared" si="284"/>
        <v>0</v>
      </c>
      <c r="S552" s="248">
        <f t="shared" si="284"/>
        <v>254990.96</v>
      </c>
      <c r="T552" s="248">
        <f t="shared" si="284"/>
        <v>286027.83999999997</v>
      </c>
      <c r="U552" s="249">
        <f t="shared" si="284"/>
        <v>5330390.34</v>
      </c>
      <c r="V552" s="248">
        <f t="shared" si="284"/>
        <v>5385760.6500000004</v>
      </c>
      <c r="W552" s="473">
        <f t="shared" si="284"/>
        <v>0</v>
      </c>
      <c r="X552" s="473">
        <f t="shared" si="284"/>
        <v>0</v>
      </c>
      <c r="Y552" s="248">
        <f t="shared" si="284"/>
        <v>5330390.34</v>
      </c>
      <c r="Z552" s="249">
        <f t="shared" si="284"/>
        <v>5385760.6500000004</v>
      </c>
      <c r="AA552" s="248">
        <f t="shared" si="284"/>
        <v>0</v>
      </c>
      <c r="AB552" s="248">
        <f t="shared" si="284"/>
        <v>5385760.6500000004</v>
      </c>
    </row>
    <row r="553" spans="1:28" ht="25.5" x14ac:dyDescent="0.2">
      <c r="A553" s="212" t="s">
        <v>54</v>
      </c>
      <c r="B553" s="58" t="s">
        <v>118</v>
      </c>
      <c r="C553" s="59" t="s">
        <v>69</v>
      </c>
      <c r="D553" s="58" t="s">
        <v>120</v>
      </c>
      <c r="E553" s="117" t="s">
        <v>157</v>
      </c>
      <c r="F553" s="72" t="s">
        <v>135</v>
      </c>
      <c r="G553" s="66" t="s">
        <v>135</v>
      </c>
      <c r="H553" s="66" t="s">
        <v>135</v>
      </c>
      <c r="I553" s="72" t="s">
        <v>16</v>
      </c>
      <c r="J553" s="67" t="s">
        <v>135</v>
      </c>
      <c r="K553" s="214">
        <v>240</v>
      </c>
      <c r="L553" s="68">
        <f>3402361.34-70000+3587800.82</f>
        <v>6920162.1600000001</v>
      </c>
      <c r="M553" s="69">
        <f>-2099536.43-2287630.73-348885.72</f>
        <v>-4736052.88</v>
      </c>
      <c r="N553" s="216">
        <v>56000</v>
      </c>
      <c r="O553" s="216">
        <v>-56000</v>
      </c>
      <c r="P553" s="216">
        <v>31036.880000000001</v>
      </c>
      <c r="Q553" s="215">
        <f>1400000+100000+2340000+418296.5+25727.05+1046366.79</f>
        <v>5330390.34</v>
      </c>
      <c r="R553" s="216">
        <v>0</v>
      </c>
      <c r="S553" s="216">
        <f>199990.96+55000</f>
        <v>254990.96</v>
      </c>
      <c r="T553" s="216">
        <f>S553+P553</f>
        <v>286027.83999999997</v>
      </c>
      <c r="U553" s="217">
        <f>1400000+100000+2340000+418296.5+25727.05+1046366.79</f>
        <v>5330390.34</v>
      </c>
      <c r="V553" s="216">
        <f>1400000+100000+2340000+418296.5+27242.83+1100221.32</f>
        <v>5385760.6500000004</v>
      </c>
      <c r="W553" s="215">
        <v>0</v>
      </c>
      <c r="X553" s="215">
        <v>0</v>
      </c>
      <c r="Y553" s="216">
        <f>1400000+100000+2340000+418296.5+25727.05+1046366.79</f>
        <v>5330390.34</v>
      </c>
      <c r="Z553" s="217">
        <f>1400000+100000+2340000+418296.5+27242.83+1100221.32</f>
        <v>5385760.6500000004</v>
      </c>
      <c r="AA553" s="216">
        <v>0</v>
      </c>
      <c r="AB553" s="216">
        <f>1400000+100000+2340000+418296.5+27242.83+1100221.32</f>
        <v>5385760.6500000004</v>
      </c>
    </row>
    <row r="554" spans="1:28" x14ac:dyDescent="0.2">
      <c r="A554" s="212" t="s">
        <v>62</v>
      </c>
      <c r="B554" s="58" t="s">
        <v>118</v>
      </c>
      <c r="C554" s="134" t="s">
        <v>69</v>
      </c>
      <c r="D554" s="58" t="s">
        <v>120</v>
      </c>
      <c r="E554" s="117" t="s">
        <v>157</v>
      </c>
      <c r="F554" s="72" t="s">
        <v>135</v>
      </c>
      <c r="G554" s="66" t="s">
        <v>135</v>
      </c>
      <c r="H554" s="66" t="s">
        <v>135</v>
      </c>
      <c r="I554" s="72" t="s">
        <v>16</v>
      </c>
      <c r="J554" s="67" t="s">
        <v>135</v>
      </c>
      <c r="K554" s="214" t="s">
        <v>63</v>
      </c>
      <c r="L554" s="101">
        <f t="shared" ref="L554:AB554" si="285">L555</f>
        <v>70000</v>
      </c>
      <c r="M554" s="102">
        <f t="shared" si="285"/>
        <v>0</v>
      </c>
      <c r="N554" s="248">
        <f t="shared" si="285"/>
        <v>0</v>
      </c>
      <c r="O554" s="248">
        <f t="shared" si="285"/>
        <v>0</v>
      </c>
      <c r="P554" s="248">
        <f t="shared" si="285"/>
        <v>70000</v>
      </c>
      <c r="Q554" s="473">
        <f t="shared" si="285"/>
        <v>70000</v>
      </c>
      <c r="R554" s="248">
        <f t="shared" si="285"/>
        <v>0</v>
      </c>
      <c r="S554" s="248">
        <f t="shared" si="285"/>
        <v>0</v>
      </c>
      <c r="T554" s="248">
        <f t="shared" si="285"/>
        <v>70000</v>
      </c>
      <c r="U554" s="249">
        <f t="shared" si="285"/>
        <v>70000</v>
      </c>
      <c r="V554" s="248">
        <f t="shared" si="285"/>
        <v>70000</v>
      </c>
      <c r="W554" s="473">
        <f t="shared" si="285"/>
        <v>0</v>
      </c>
      <c r="X554" s="473">
        <f t="shared" si="285"/>
        <v>0</v>
      </c>
      <c r="Y554" s="248">
        <f t="shared" si="285"/>
        <v>70000</v>
      </c>
      <c r="Z554" s="249">
        <f t="shared" si="285"/>
        <v>70000</v>
      </c>
      <c r="AA554" s="248">
        <f t="shared" si="285"/>
        <v>0</v>
      </c>
      <c r="AB554" s="248">
        <f t="shared" si="285"/>
        <v>70000</v>
      </c>
    </row>
    <row r="555" spans="1:28" x14ac:dyDescent="0.2">
      <c r="A555" s="362" t="s">
        <v>64</v>
      </c>
      <c r="B555" s="60" t="s">
        <v>118</v>
      </c>
      <c r="C555" s="134" t="s">
        <v>69</v>
      </c>
      <c r="D555" s="58" t="s">
        <v>120</v>
      </c>
      <c r="E555" s="117" t="s">
        <v>157</v>
      </c>
      <c r="F555" s="72" t="s">
        <v>135</v>
      </c>
      <c r="G555" s="66" t="s">
        <v>135</v>
      </c>
      <c r="H555" s="66" t="s">
        <v>135</v>
      </c>
      <c r="I555" s="72" t="s">
        <v>16</v>
      </c>
      <c r="J555" s="67" t="s">
        <v>135</v>
      </c>
      <c r="K555" s="214" t="s">
        <v>65</v>
      </c>
      <c r="L555" s="101">
        <v>70000</v>
      </c>
      <c r="M555" s="102">
        <v>0</v>
      </c>
      <c r="N555" s="216">
        <v>0</v>
      </c>
      <c r="O555" s="216">
        <v>0</v>
      </c>
      <c r="P555" s="216">
        <v>70000</v>
      </c>
      <c r="Q555" s="215">
        <v>70000</v>
      </c>
      <c r="R555" s="216">
        <v>0</v>
      </c>
      <c r="S555" s="216">
        <v>0</v>
      </c>
      <c r="T555" s="216">
        <f>P555</f>
        <v>70000</v>
      </c>
      <c r="U555" s="217">
        <v>70000</v>
      </c>
      <c r="V555" s="216">
        <v>70000</v>
      </c>
      <c r="W555" s="215">
        <v>0</v>
      </c>
      <c r="X555" s="215">
        <v>0</v>
      </c>
      <c r="Y555" s="216">
        <v>70000</v>
      </c>
      <c r="Z555" s="217">
        <v>70000</v>
      </c>
      <c r="AA555" s="216">
        <v>0</v>
      </c>
      <c r="AB555" s="216">
        <v>70000</v>
      </c>
    </row>
    <row r="556" spans="1:28" ht="63.75" x14ac:dyDescent="0.2">
      <c r="A556" s="363" t="s">
        <v>386</v>
      </c>
      <c r="B556" s="60" t="s">
        <v>118</v>
      </c>
      <c r="C556" s="58" t="s">
        <v>69</v>
      </c>
      <c r="D556" s="59" t="s">
        <v>120</v>
      </c>
      <c r="E556" s="72" t="s">
        <v>157</v>
      </c>
      <c r="F556" s="72" t="s">
        <v>135</v>
      </c>
      <c r="G556" s="66" t="s">
        <v>135</v>
      </c>
      <c r="H556" s="66" t="s">
        <v>135</v>
      </c>
      <c r="I556" s="72" t="s">
        <v>385</v>
      </c>
      <c r="J556" s="67" t="s">
        <v>135</v>
      </c>
      <c r="K556" s="214"/>
      <c r="L556" s="101"/>
      <c r="M556" s="102"/>
      <c r="N556" s="216">
        <f t="shared" ref="N556:AB556" si="286">N557</f>
        <v>0</v>
      </c>
      <c r="O556" s="216">
        <f t="shared" si="286"/>
        <v>800000</v>
      </c>
      <c r="P556" s="216">
        <f t="shared" si="286"/>
        <v>800000</v>
      </c>
      <c r="Q556" s="216">
        <f t="shared" si="286"/>
        <v>0</v>
      </c>
      <c r="R556" s="216">
        <f t="shared" si="286"/>
        <v>0</v>
      </c>
      <c r="S556" s="216">
        <f t="shared" si="286"/>
        <v>0</v>
      </c>
      <c r="T556" s="216">
        <f t="shared" si="286"/>
        <v>800000</v>
      </c>
      <c r="U556" s="217">
        <f t="shared" si="286"/>
        <v>0</v>
      </c>
      <c r="V556" s="216">
        <f t="shared" si="286"/>
        <v>0</v>
      </c>
      <c r="W556" s="215">
        <f t="shared" si="286"/>
        <v>0</v>
      </c>
      <c r="X556" s="215">
        <f t="shared" si="286"/>
        <v>0</v>
      </c>
      <c r="Y556" s="216">
        <f t="shared" si="286"/>
        <v>0</v>
      </c>
      <c r="Z556" s="217">
        <f t="shared" si="286"/>
        <v>0</v>
      </c>
      <c r="AA556" s="216">
        <f t="shared" si="286"/>
        <v>0</v>
      </c>
      <c r="AB556" s="216">
        <f t="shared" si="286"/>
        <v>0</v>
      </c>
    </row>
    <row r="557" spans="1:28" ht="25.5" x14ac:dyDescent="0.2">
      <c r="A557" s="362" t="s">
        <v>52</v>
      </c>
      <c r="B557" s="60" t="s">
        <v>118</v>
      </c>
      <c r="C557" s="58" t="s">
        <v>69</v>
      </c>
      <c r="D557" s="59" t="s">
        <v>120</v>
      </c>
      <c r="E557" s="72" t="s">
        <v>157</v>
      </c>
      <c r="F557" s="72" t="s">
        <v>135</v>
      </c>
      <c r="G557" s="66" t="s">
        <v>135</v>
      </c>
      <c r="H557" s="66" t="s">
        <v>135</v>
      </c>
      <c r="I557" s="72" t="s">
        <v>385</v>
      </c>
      <c r="J557" s="67" t="s">
        <v>135</v>
      </c>
      <c r="K557" s="214">
        <v>200</v>
      </c>
      <c r="L557" s="101"/>
      <c r="M557" s="102"/>
      <c r="N557" s="216">
        <v>0</v>
      </c>
      <c r="O557" s="216">
        <f>O558</f>
        <v>800000</v>
      </c>
      <c r="P557" s="216">
        <f>P558</f>
        <v>800000</v>
      </c>
      <c r="Q557" s="216">
        <v>0</v>
      </c>
      <c r="R557" s="216">
        <f>R558</f>
        <v>0</v>
      </c>
      <c r="S557" s="216">
        <f>S558</f>
        <v>0</v>
      </c>
      <c r="T557" s="216">
        <f>T558</f>
        <v>800000</v>
      </c>
      <c r="U557" s="217">
        <f>U558</f>
        <v>0</v>
      </c>
      <c r="V557" s="216">
        <v>0</v>
      </c>
      <c r="W557" s="215">
        <f t="shared" ref="W557:AB557" si="287">W558</f>
        <v>0</v>
      </c>
      <c r="X557" s="215">
        <f t="shared" si="287"/>
        <v>0</v>
      </c>
      <c r="Y557" s="216">
        <f t="shared" si="287"/>
        <v>0</v>
      </c>
      <c r="Z557" s="217">
        <f t="shared" si="287"/>
        <v>0</v>
      </c>
      <c r="AA557" s="216">
        <f t="shared" si="287"/>
        <v>0</v>
      </c>
      <c r="AB557" s="216">
        <f t="shared" si="287"/>
        <v>0</v>
      </c>
    </row>
    <row r="558" spans="1:28" ht="25.5" x14ac:dyDescent="0.2">
      <c r="A558" s="362" t="s">
        <v>54</v>
      </c>
      <c r="B558" s="60" t="s">
        <v>118</v>
      </c>
      <c r="C558" s="58" t="s">
        <v>69</v>
      </c>
      <c r="D558" s="59" t="s">
        <v>120</v>
      </c>
      <c r="E558" s="72" t="s">
        <v>157</v>
      </c>
      <c r="F558" s="72" t="s">
        <v>135</v>
      </c>
      <c r="G558" s="66" t="s">
        <v>135</v>
      </c>
      <c r="H558" s="66" t="s">
        <v>135</v>
      </c>
      <c r="I558" s="72" t="s">
        <v>385</v>
      </c>
      <c r="J558" s="67" t="s">
        <v>135</v>
      </c>
      <c r="K558" s="214">
        <v>240</v>
      </c>
      <c r="L558" s="101"/>
      <c r="M558" s="102"/>
      <c r="N558" s="216">
        <f>N557</f>
        <v>0</v>
      </c>
      <c r="O558" s="216">
        <f>744000+56000</f>
        <v>800000</v>
      </c>
      <c r="P558" s="216">
        <f>O558</f>
        <v>800000</v>
      </c>
      <c r="Q558" s="216">
        <f>Q557</f>
        <v>0</v>
      </c>
      <c r="R558" s="216">
        <v>0</v>
      </c>
      <c r="S558" s="216">
        <f>R558</f>
        <v>0</v>
      </c>
      <c r="T558" s="216">
        <v>800000</v>
      </c>
      <c r="U558" s="217">
        <f>R558</f>
        <v>0</v>
      </c>
      <c r="V558" s="216">
        <f>V557</f>
        <v>0</v>
      </c>
      <c r="W558" s="215">
        <v>0</v>
      </c>
      <c r="X558" s="215">
        <f>U558</f>
        <v>0</v>
      </c>
      <c r="Y558" s="216">
        <f>V558</f>
        <v>0</v>
      </c>
      <c r="Z558" s="217">
        <f>W558</f>
        <v>0</v>
      </c>
      <c r="AA558" s="216">
        <f>X558</f>
        <v>0</v>
      </c>
      <c r="AB558" s="216">
        <f>Y558</f>
        <v>0</v>
      </c>
    </row>
    <row r="559" spans="1:28" ht="25.5" x14ac:dyDescent="0.2">
      <c r="A559" s="362" t="s">
        <v>31</v>
      </c>
      <c r="B559" s="60" t="s">
        <v>118</v>
      </c>
      <c r="C559" s="59" t="s">
        <v>69</v>
      </c>
      <c r="D559" s="58" t="s">
        <v>120</v>
      </c>
      <c r="E559" s="103" t="s">
        <v>5</v>
      </c>
      <c r="F559" s="66" t="s">
        <v>135</v>
      </c>
      <c r="G559" s="66" t="s">
        <v>135</v>
      </c>
      <c r="H559" s="66" t="s">
        <v>135</v>
      </c>
      <c r="I559" s="66" t="s">
        <v>136</v>
      </c>
      <c r="J559" s="67" t="s">
        <v>135</v>
      </c>
      <c r="K559" s="214"/>
      <c r="L559" s="101">
        <f t="shared" ref="L559:AB559" si="288">L560</f>
        <v>17892700</v>
      </c>
      <c r="M559" s="102">
        <f t="shared" si="288"/>
        <v>0</v>
      </c>
      <c r="N559" s="248">
        <f t="shared" si="288"/>
        <v>28900977.300000001</v>
      </c>
      <c r="O559" s="248">
        <f t="shared" si="288"/>
        <v>-1470873.99</v>
      </c>
      <c r="P559" s="248">
        <f t="shared" si="288"/>
        <v>27430103.310000002</v>
      </c>
      <c r="Q559" s="473">
        <f t="shared" si="288"/>
        <v>28900977.300000001</v>
      </c>
      <c r="R559" s="248">
        <f t="shared" si="288"/>
        <v>-1470873.99</v>
      </c>
      <c r="S559" s="248">
        <f t="shared" si="288"/>
        <v>-105000</v>
      </c>
      <c r="T559" s="248">
        <f t="shared" si="288"/>
        <v>27325103.309999999</v>
      </c>
      <c r="U559" s="249">
        <f t="shared" si="288"/>
        <v>27430103.310000002</v>
      </c>
      <c r="V559" s="248">
        <f t="shared" si="288"/>
        <v>28900977.300000001</v>
      </c>
      <c r="W559" s="473">
        <f t="shared" si="288"/>
        <v>-1470873.99</v>
      </c>
      <c r="X559" s="473">
        <f t="shared" si="288"/>
        <v>0</v>
      </c>
      <c r="Y559" s="248">
        <f t="shared" si="288"/>
        <v>27430103.309999999</v>
      </c>
      <c r="Z559" s="249">
        <f t="shared" si="288"/>
        <v>27430103.310000002</v>
      </c>
      <c r="AA559" s="248">
        <f t="shared" si="288"/>
        <v>0</v>
      </c>
      <c r="AB559" s="248">
        <f t="shared" si="288"/>
        <v>27430103.309999999</v>
      </c>
    </row>
    <row r="560" spans="1:28" ht="25.5" x14ac:dyDescent="0.2">
      <c r="A560" s="213" t="s">
        <v>29</v>
      </c>
      <c r="B560" s="58" t="s">
        <v>118</v>
      </c>
      <c r="C560" s="59" t="s">
        <v>69</v>
      </c>
      <c r="D560" s="58" t="s">
        <v>120</v>
      </c>
      <c r="E560" s="103" t="s">
        <v>5</v>
      </c>
      <c r="F560" s="66" t="s">
        <v>135</v>
      </c>
      <c r="G560" s="66" t="s">
        <v>135</v>
      </c>
      <c r="H560" s="66" t="s">
        <v>135</v>
      </c>
      <c r="I560" s="66" t="s">
        <v>27</v>
      </c>
      <c r="J560" s="67" t="s">
        <v>135</v>
      </c>
      <c r="K560" s="214"/>
      <c r="L560" s="68">
        <f t="shared" ref="L560:O560" si="289">L561+L563+L565</f>
        <v>17892700</v>
      </c>
      <c r="M560" s="69">
        <f t="shared" si="289"/>
        <v>0</v>
      </c>
      <c r="N560" s="216">
        <f t="shared" si="289"/>
        <v>28900977.300000001</v>
      </c>
      <c r="O560" s="216">
        <f t="shared" si="289"/>
        <v>-1470873.99</v>
      </c>
      <c r="P560" s="216">
        <f>P561+P563+P565+P568</f>
        <v>27430103.310000002</v>
      </c>
      <c r="Q560" s="216">
        <f t="shared" ref="Q560:AB560" si="290">Q561+Q563+Q565+Q568</f>
        <v>28900977.300000001</v>
      </c>
      <c r="R560" s="216">
        <f t="shared" si="290"/>
        <v>-1470873.99</v>
      </c>
      <c r="S560" s="216">
        <f t="shared" si="290"/>
        <v>-105000</v>
      </c>
      <c r="T560" s="216">
        <f t="shared" si="290"/>
        <v>27325103.309999999</v>
      </c>
      <c r="U560" s="217">
        <f t="shared" si="290"/>
        <v>27430103.310000002</v>
      </c>
      <c r="V560" s="216">
        <f t="shared" si="290"/>
        <v>28900977.300000001</v>
      </c>
      <c r="W560" s="216">
        <f t="shared" si="290"/>
        <v>-1470873.99</v>
      </c>
      <c r="X560" s="215">
        <f t="shared" si="290"/>
        <v>0</v>
      </c>
      <c r="Y560" s="216">
        <f t="shared" si="290"/>
        <v>27430103.309999999</v>
      </c>
      <c r="Z560" s="217">
        <f t="shared" si="290"/>
        <v>27430103.310000002</v>
      </c>
      <c r="AA560" s="216">
        <f t="shared" si="290"/>
        <v>0</v>
      </c>
      <c r="AB560" s="216">
        <f t="shared" si="290"/>
        <v>27430103.309999999</v>
      </c>
    </row>
    <row r="561" spans="1:28" ht="51" x14ac:dyDescent="0.2">
      <c r="A561" s="212" t="s">
        <v>67</v>
      </c>
      <c r="B561" s="58" t="s">
        <v>118</v>
      </c>
      <c r="C561" s="59" t="s">
        <v>69</v>
      </c>
      <c r="D561" s="58" t="s">
        <v>120</v>
      </c>
      <c r="E561" s="103" t="s">
        <v>5</v>
      </c>
      <c r="F561" s="66" t="s">
        <v>135</v>
      </c>
      <c r="G561" s="66" t="s">
        <v>135</v>
      </c>
      <c r="H561" s="66" t="s">
        <v>135</v>
      </c>
      <c r="I561" s="66" t="s">
        <v>27</v>
      </c>
      <c r="J561" s="67" t="s">
        <v>135</v>
      </c>
      <c r="K561" s="214">
        <v>100</v>
      </c>
      <c r="L561" s="68">
        <f t="shared" ref="L561:AB561" si="291">L562</f>
        <v>17407700</v>
      </c>
      <c r="M561" s="69">
        <f t="shared" si="291"/>
        <v>0</v>
      </c>
      <c r="N561" s="216">
        <f t="shared" si="291"/>
        <v>28415977.300000001</v>
      </c>
      <c r="O561" s="216">
        <f t="shared" si="291"/>
        <v>-1470873.99</v>
      </c>
      <c r="P561" s="216">
        <f t="shared" si="291"/>
        <v>26945103.310000002</v>
      </c>
      <c r="Q561" s="215">
        <f t="shared" si="291"/>
        <v>28415977.300000001</v>
      </c>
      <c r="R561" s="216">
        <f t="shared" si="291"/>
        <v>-1470873.99</v>
      </c>
      <c r="S561" s="216">
        <f t="shared" si="291"/>
        <v>0</v>
      </c>
      <c r="T561" s="216">
        <f t="shared" si="291"/>
        <v>26945103.309999999</v>
      </c>
      <c r="U561" s="217">
        <f t="shared" si="291"/>
        <v>26945103.310000002</v>
      </c>
      <c r="V561" s="216">
        <f t="shared" si="291"/>
        <v>28415977.300000001</v>
      </c>
      <c r="W561" s="215">
        <f t="shared" si="291"/>
        <v>-1470873.99</v>
      </c>
      <c r="X561" s="215">
        <f t="shared" si="291"/>
        <v>0</v>
      </c>
      <c r="Y561" s="216">
        <f t="shared" si="291"/>
        <v>26945103.309999999</v>
      </c>
      <c r="Z561" s="217">
        <f t="shared" si="291"/>
        <v>26945103.310000002</v>
      </c>
      <c r="AA561" s="216">
        <f t="shared" si="291"/>
        <v>0</v>
      </c>
      <c r="AB561" s="216">
        <f t="shared" si="291"/>
        <v>26945103.309999999</v>
      </c>
    </row>
    <row r="562" spans="1:28" ht="25.5" x14ac:dyDescent="0.2">
      <c r="A562" s="212" t="s">
        <v>61</v>
      </c>
      <c r="B562" s="58" t="s">
        <v>118</v>
      </c>
      <c r="C562" s="59" t="s">
        <v>69</v>
      </c>
      <c r="D562" s="58" t="s">
        <v>120</v>
      </c>
      <c r="E562" s="103" t="s">
        <v>5</v>
      </c>
      <c r="F562" s="66" t="s">
        <v>135</v>
      </c>
      <c r="G562" s="66" t="s">
        <v>135</v>
      </c>
      <c r="H562" s="66" t="s">
        <v>135</v>
      </c>
      <c r="I562" s="66" t="s">
        <v>27</v>
      </c>
      <c r="J562" s="67" t="s">
        <v>135</v>
      </c>
      <c r="K562" s="309">
        <v>120</v>
      </c>
      <c r="L562" s="68">
        <v>17407700</v>
      </c>
      <c r="M562" s="69">
        <v>0</v>
      </c>
      <c r="N562" s="216">
        <f>21694299.3+170000+6551678</f>
        <v>28415977.300000001</v>
      </c>
      <c r="O562" s="216">
        <v>-1470873.99</v>
      </c>
      <c r="P562" s="216">
        <f>O562+N562</f>
        <v>26945103.310000002</v>
      </c>
      <c r="Q562" s="215">
        <f>21694299.3+170000+6551678</f>
        <v>28415977.300000001</v>
      </c>
      <c r="R562" s="216">
        <v>-1470873.99</v>
      </c>
      <c r="S562" s="216">
        <v>0</v>
      </c>
      <c r="T562" s="216">
        <v>26945103.309999999</v>
      </c>
      <c r="U562" s="217">
        <f>R562+Q562</f>
        <v>26945103.310000002</v>
      </c>
      <c r="V562" s="216">
        <f>21694299.3+170000+6551678</f>
        <v>28415977.300000001</v>
      </c>
      <c r="W562" s="215">
        <v>-1470873.99</v>
      </c>
      <c r="X562" s="215">
        <v>0</v>
      </c>
      <c r="Y562" s="216">
        <v>26945103.309999999</v>
      </c>
      <c r="Z562" s="217">
        <f>W562+V562</f>
        <v>26945103.310000002</v>
      </c>
      <c r="AA562" s="216">
        <v>0</v>
      </c>
      <c r="AB562" s="216">
        <f>Y562+X562</f>
        <v>26945103.309999999</v>
      </c>
    </row>
    <row r="563" spans="1:28" ht="25.5" x14ac:dyDescent="0.2">
      <c r="A563" s="212" t="s">
        <v>52</v>
      </c>
      <c r="B563" s="58" t="s">
        <v>118</v>
      </c>
      <c r="C563" s="59" t="s">
        <v>69</v>
      </c>
      <c r="D563" s="58" t="s">
        <v>120</v>
      </c>
      <c r="E563" s="103" t="s">
        <v>5</v>
      </c>
      <c r="F563" s="66" t="s">
        <v>135</v>
      </c>
      <c r="G563" s="66" t="s">
        <v>135</v>
      </c>
      <c r="H563" s="66" t="s">
        <v>135</v>
      </c>
      <c r="I563" s="66" t="s">
        <v>27</v>
      </c>
      <c r="J563" s="67" t="s">
        <v>135</v>
      </c>
      <c r="K563" s="309">
        <v>200</v>
      </c>
      <c r="L563" s="68">
        <f t="shared" ref="L563:AB563" si="292">L564</f>
        <v>485000</v>
      </c>
      <c r="M563" s="69">
        <f t="shared" si="292"/>
        <v>0</v>
      </c>
      <c r="N563" s="216">
        <f t="shared" si="292"/>
        <v>485000</v>
      </c>
      <c r="O563" s="216">
        <f t="shared" si="292"/>
        <v>0</v>
      </c>
      <c r="P563" s="216">
        <f t="shared" si="292"/>
        <v>485000</v>
      </c>
      <c r="Q563" s="215">
        <f t="shared" si="292"/>
        <v>485000</v>
      </c>
      <c r="R563" s="216">
        <f t="shared" si="292"/>
        <v>0</v>
      </c>
      <c r="S563" s="216">
        <f t="shared" si="292"/>
        <v>-126688.09</v>
      </c>
      <c r="T563" s="216">
        <f t="shared" si="292"/>
        <v>358311.91000000003</v>
      </c>
      <c r="U563" s="217">
        <f t="shared" si="292"/>
        <v>485000</v>
      </c>
      <c r="V563" s="216">
        <f t="shared" si="292"/>
        <v>485000</v>
      </c>
      <c r="W563" s="215">
        <f t="shared" si="292"/>
        <v>0</v>
      </c>
      <c r="X563" s="215">
        <f t="shared" si="292"/>
        <v>0</v>
      </c>
      <c r="Y563" s="216">
        <f t="shared" si="292"/>
        <v>485000</v>
      </c>
      <c r="Z563" s="217">
        <f t="shared" si="292"/>
        <v>485000</v>
      </c>
      <c r="AA563" s="216">
        <f t="shared" si="292"/>
        <v>0</v>
      </c>
      <c r="AB563" s="216">
        <f t="shared" si="292"/>
        <v>485000</v>
      </c>
    </row>
    <row r="564" spans="1:28" ht="25.5" x14ac:dyDescent="0.2">
      <c r="A564" s="212" t="s">
        <v>54</v>
      </c>
      <c r="B564" s="58" t="s">
        <v>118</v>
      </c>
      <c r="C564" s="59" t="s">
        <v>69</v>
      </c>
      <c r="D564" s="58" t="s">
        <v>120</v>
      </c>
      <c r="E564" s="103" t="s">
        <v>5</v>
      </c>
      <c r="F564" s="66" t="s">
        <v>135</v>
      </c>
      <c r="G564" s="66" t="s">
        <v>135</v>
      </c>
      <c r="H564" s="66" t="s">
        <v>135</v>
      </c>
      <c r="I564" s="66" t="s">
        <v>27</v>
      </c>
      <c r="J564" s="67" t="s">
        <v>135</v>
      </c>
      <c r="K564" s="309">
        <v>240</v>
      </c>
      <c r="L564" s="68">
        <v>485000</v>
      </c>
      <c r="M564" s="69">
        <v>0</v>
      </c>
      <c r="N564" s="216">
        <v>485000</v>
      </c>
      <c r="O564" s="216">
        <v>0</v>
      </c>
      <c r="P564" s="216">
        <v>485000</v>
      </c>
      <c r="Q564" s="215">
        <v>485000</v>
      </c>
      <c r="R564" s="216">
        <v>0</v>
      </c>
      <c r="S564" s="216">
        <f>-105000-21688.09</f>
        <v>-126688.09</v>
      </c>
      <c r="T564" s="216">
        <f>S564+P564</f>
        <v>358311.91000000003</v>
      </c>
      <c r="U564" s="217">
        <v>485000</v>
      </c>
      <c r="V564" s="216">
        <v>485000</v>
      </c>
      <c r="W564" s="215">
        <v>0</v>
      </c>
      <c r="X564" s="215">
        <v>0</v>
      </c>
      <c r="Y564" s="216">
        <v>485000</v>
      </c>
      <c r="Z564" s="217">
        <v>485000</v>
      </c>
      <c r="AA564" s="216">
        <v>0</v>
      </c>
      <c r="AB564" s="216">
        <v>485000</v>
      </c>
    </row>
    <row r="565" spans="1:28" ht="12.75" hidden="1" customHeight="1" x14ac:dyDescent="0.2">
      <c r="A565" s="212" t="s">
        <v>62</v>
      </c>
      <c r="B565" s="58" t="s">
        <v>118</v>
      </c>
      <c r="C565" s="59" t="s">
        <v>69</v>
      </c>
      <c r="D565" s="58" t="s">
        <v>120</v>
      </c>
      <c r="E565" s="103" t="s">
        <v>5</v>
      </c>
      <c r="F565" s="66" t="s">
        <v>135</v>
      </c>
      <c r="G565" s="66" t="s">
        <v>135</v>
      </c>
      <c r="H565" s="66" t="s">
        <v>135</v>
      </c>
      <c r="I565" s="66" t="s">
        <v>27</v>
      </c>
      <c r="J565" s="67" t="s">
        <v>135</v>
      </c>
      <c r="K565" s="309" t="s">
        <v>63</v>
      </c>
      <c r="L565" s="68">
        <f t="shared" ref="L565:AB565" si="293">L566</f>
        <v>0</v>
      </c>
      <c r="M565" s="69">
        <f t="shared" si="293"/>
        <v>0</v>
      </c>
      <c r="N565" s="216">
        <f t="shared" si="293"/>
        <v>0</v>
      </c>
      <c r="O565" s="216">
        <f t="shared" si="293"/>
        <v>0</v>
      </c>
      <c r="P565" s="216">
        <f t="shared" si="293"/>
        <v>0</v>
      </c>
      <c r="Q565" s="215">
        <f t="shared" si="293"/>
        <v>0</v>
      </c>
      <c r="R565" s="216">
        <f t="shared" si="293"/>
        <v>0</v>
      </c>
      <c r="S565" s="216">
        <f t="shared" si="293"/>
        <v>0</v>
      </c>
      <c r="T565" s="216">
        <f t="shared" si="293"/>
        <v>0</v>
      </c>
      <c r="U565" s="217">
        <f t="shared" si="293"/>
        <v>0</v>
      </c>
      <c r="V565" s="216">
        <f t="shared" si="293"/>
        <v>0</v>
      </c>
      <c r="W565" s="215">
        <f t="shared" si="293"/>
        <v>0</v>
      </c>
      <c r="X565" s="215">
        <f t="shared" si="293"/>
        <v>0</v>
      </c>
      <c r="Y565" s="216">
        <f t="shared" si="293"/>
        <v>0</v>
      </c>
      <c r="Z565" s="217">
        <f t="shared" si="293"/>
        <v>0</v>
      </c>
      <c r="AA565" s="216">
        <f t="shared" si="293"/>
        <v>0</v>
      </c>
      <c r="AB565" s="216">
        <f t="shared" si="293"/>
        <v>0</v>
      </c>
    </row>
    <row r="566" spans="1:28" ht="12.75" hidden="1" customHeight="1" x14ac:dyDescent="0.2">
      <c r="A566" s="212" t="s">
        <v>174</v>
      </c>
      <c r="B566" s="58" t="s">
        <v>118</v>
      </c>
      <c r="C566" s="59" t="s">
        <v>69</v>
      </c>
      <c r="D566" s="58" t="s">
        <v>120</v>
      </c>
      <c r="E566" s="103" t="s">
        <v>5</v>
      </c>
      <c r="F566" s="66" t="s">
        <v>135</v>
      </c>
      <c r="G566" s="66" t="s">
        <v>135</v>
      </c>
      <c r="H566" s="66" t="s">
        <v>135</v>
      </c>
      <c r="I566" s="66" t="s">
        <v>27</v>
      </c>
      <c r="J566" s="67" t="s">
        <v>135</v>
      </c>
      <c r="K566" s="309" t="s">
        <v>173</v>
      </c>
      <c r="L566" s="68">
        <v>0</v>
      </c>
      <c r="M566" s="69">
        <v>0</v>
      </c>
      <c r="N566" s="216">
        <v>0</v>
      </c>
      <c r="O566" s="216">
        <v>0</v>
      </c>
      <c r="P566" s="216">
        <v>0</v>
      </c>
      <c r="Q566" s="215">
        <v>0</v>
      </c>
      <c r="R566" s="216">
        <v>0</v>
      </c>
      <c r="S566" s="216">
        <v>0</v>
      </c>
      <c r="T566" s="216">
        <v>0</v>
      </c>
      <c r="U566" s="217">
        <v>0</v>
      </c>
      <c r="V566" s="216">
        <v>0</v>
      </c>
      <c r="W566" s="215">
        <v>0</v>
      </c>
      <c r="X566" s="215">
        <v>0</v>
      </c>
      <c r="Y566" s="216">
        <v>0</v>
      </c>
      <c r="Z566" s="217">
        <v>0</v>
      </c>
      <c r="AA566" s="216">
        <v>0</v>
      </c>
      <c r="AB566" s="216">
        <v>0</v>
      </c>
    </row>
    <row r="567" spans="1:28" ht="12.75" customHeight="1" x14ac:dyDescent="0.2">
      <c r="A567" s="212" t="s">
        <v>62</v>
      </c>
      <c r="B567" s="58" t="s">
        <v>118</v>
      </c>
      <c r="C567" s="59" t="s">
        <v>69</v>
      </c>
      <c r="D567" s="58" t="s">
        <v>120</v>
      </c>
      <c r="E567" s="103" t="s">
        <v>5</v>
      </c>
      <c r="F567" s="66" t="s">
        <v>135</v>
      </c>
      <c r="G567" s="66" t="s">
        <v>135</v>
      </c>
      <c r="H567" s="66" t="s">
        <v>135</v>
      </c>
      <c r="I567" s="66" t="s">
        <v>27</v>
      </c>
      <c r="J567" s="67" t="s">
        <v>135</v>
      </c>
      <c r="K567" s="309" t="s">
        <v>63</v>
      </c>
      <c r="L567" s="68"/>
      <c r="M567" s="69"/>
      <c r="N567" s="216"/>
      <c r="O567" s="216"/>
      <c r="P567" s="216">
        <f>P568</f>
        <v>0</v>
      </c>
      <c r="Q567" s="215"/>
      <c r="R567" s="216"/>
      <c r="S567" s="216">
        <f>S568</f>
        <v>21688.09</v>
      </c>
      <c r="T567" s="216">
        <f>T568</f>
        <v>21688.09</v>
      </c>
      <c r="U567" s="217">
        <f>U568</f>
        <v>0</v>
      </c>
      <c r="V567" s="216"/>
      <c r="W567" s="215"/>
      <c r="X567" s="215">
        <f>X568</f>
        <v>0</v>
      </c>
      <c r="Y567" s="216">
        <f>Y568</f>
        <v>0</v>
      </c>
      <c r="Z567" s="217">
        <f>Z568</f>
        <v>0</v>
      </c>
      <c r="AA567" s="216">
        <f>AA568</f>
        <v>0</v>
      </c>
      <c r="AB567" s="216">
        <f>AB568</f>
        <v>0</v>
      </c>
    </row>
    <row r="568" spans="1:28" ht="12.75" customHeight="1" x14ac:dyDescent="0.2">
      <c r="A568" s="212" t="s">
        <v>174</v>
      </c>
      <c r="B568" s="58" t="s">
        <v>118</v>
      </c>
      <c r="C568" s="59" t="s">
        <v>69</v>
      </c>
      <c r="D568" s="58" t="s">
        <v>120</v>
      </c>
      <c r="E568" s="103" t="s">
        <v>5</v>
      </c>
      <c r="F568" s="66" t="s">
        <v>135</v>
      </c>
      <c r="G568" s="66" t="s">
        <v>135</v>
      </c>
      <c r="H568" s="66" t="s">
        <v>135</v>
      </c>
      <c r="I568" s="66" t="s">
        <v>27</v>
      </c>
      <c r="J568" s="67" t="s">
        <v>135</v>
      </c>
      <c r="K568" s="309" t="s">
        <v>173</v>
      </c>
      <c r="L568" s="68"/>
      <c r="M568" s="69"/>
      <c r="N568" s="216"/>
      <c r="O568" s="216"/>
      <c r="P568" s="216">
        <v>0</v>
      </c>
      <c r="Q568" s="215"/>
      <c r="R568" s="216"/>
      <c r="S568" s="216">
        <v>21688.09</v>
      </c>
      <c r="T568" s="216">
        <f>S568</f>
        <v>21688.09</v>
      </c>
      <c r="U568" s="217">
        <v>0</v>
      </c>
      <c r="V568" s="216"/>
      <c r="W568" s="215"/>
      <c r="X568" s="215">
        <v>0</v>
      </c>
      <c r="Y568" s="216">
        <v>0</v>
      </c>
      <c r="Z568" s="217">
        <v>0</v>
      </c>
      <c r="AA568" s="216">
        <v>0</v>
      </c>
      <c r="AB568" s="216">
        <v>0</v>
      </c>
    </row>
    <row r="569" spans="1:28" x14ac:dyDescent="0.2">
      <c r="A569" s="207" t="s">
        <v>87</v>
      </c>
      <c r="B569" s="387" t="s">
        <v>118</v>
      </c>
      <c r="C569" s="138" t="s">
        <v>71</v>
      </c>
      <c r="D569" s="387"/>
      <c r="E569" s="387"/>
      <c r="F569" s="66"/>
      <c r="G569" s="66"/>
      <c r="H569" s="66"/>
      <c r="I569" s="66"/>
      <c r="J569" s="67"/>
      <c r="K569" s="309"/>
      <c r="L569" s="68">
        <f>L575</f>
        <v>595000</v>
      </c>
      <c r="M569" s="69">
        <f>M575</f>
        <v>-95000</v>
      </c>
      <c r="N569" s="216">
        <f>N575</f>
        <v>0</v>
      </c>
      <c r="O569" s="216">
        <f>O575</f>
        <v>0</v>
      </c>
      <c r="P569" s="216">
        <f>P575+P570</f>
        <v>80000</v>
      </c>
      <c r="Q569" s="216">
        <f t="shared" ref="Q569:AB569" si="294">Q575+Q570</f>
        <v>7520390.3399999999</v>
      </c>
      <c r="R569" s="216">
        <f t="shared" si="294"/>
        <v>0</v>
      </c>
      <c r="S569" s="216">
        <f t="shared" si="294"/>
        <v>99950</v>
      </c>
      <c r="T569" s="216">
        <f t="shared" si="294"/>
        <v>179950</v>
      </c>
      <c r="U569" s="217">
        <f t="shared" si="294"/>
        <v>1095000</v>
      </c>
      <c r="V569" s="216">
        <f t="shared" si="294"/>
        <v>7575760.6500000004</v>
      </c>
      <c r="W569" s="216">
        <f t="shared" si="294"/>
        <v>0</v>
      </c>
      <c r="X569" s="215">
        <f t="shared" si="294"/>
        <v>0</v>
      </c>
      <c r="Y569" s="216">
        <f t="shared" si="294"/>
        <v>1095000</v>
      </c>
      <c r="Z569" s="217">
        <f t="shared" si="294"/>
        <v>1095000</v>
      </c>
      <c r="AA569" s="216">
        <f t="shared" si="294"/>
        <v>0</v>
      </c>
      <c r="AB569" s="216">
        <f t="shared" si="294"/>
        <v>1095000</v>
      </c>
    </row>
    <row r="570" spans="1:28" x14ac:dyDescent="0.2">
      <c r="A570" s="207" t="s">
        <v>441</v>
      </c>
      <c r="B570" s="387" t="s">
        <v>118</v>
      </c>
      <c r="C570" s="138" t="s">
        <v>71</v>
      </c>
      <c r="D570" s="387" t="s">
        <v>73</v>
      </c>
      <c r="E570" s="387"/>
      <c r="F570" s="66"/>
      <c r="G570" s="66"/>
      <c r="H570" s="66"/>
      <c r="I570" s="66"/>
      <c r="J570" s="67"/>
      <c r="K570" s="309"/>
      <c r="L570" s="68"/>
      <c r="M570" s="69"/>
      <c r="N570" s="216"/>
      <c r="O570" s="216"/>
      <c r="P570" s="216">
        <f>P571</f>
        <v>0</v>
      </c>
      <c r="Q570" s="215"/>
      <c r="R570" s="216"/>
      <c r="S570" s="216">
        <f t="shared" ref="S570:U573" si="295">S571</f>
        <v>50000</v>
      </c>
      <c r="T570" s="216">
        <f t="shared" si="295"/>
        <v>50000</v>
      </c>
      <c r="U570" s="217">
        <f t="shared" si="295"/>
        <v>0</v>
      </c>
      <c r="V570" s="216"/>
      <c r="W570" s="215"/>
      <c r="X570" s="68">
        <f t="shared" ref="X570:AB573" si="296">X571</f>
        <v>0</v>
      </c>
      <c r="Y570" s="216">
        <f t="shared" si="296"/>
        <v>0</v>
      </c>
      <c r="Z570" s="217">
        <f t="shared" si="296"/>
        <v>0</v>
      </c>
      <c r="AA570" s="217">
        <f t="shared" si="296"/>
        <v>0</v>
      </c>
      <c r="AB570" s="217">
        <f t="shared" si="296"/>
        <v>0</v>
      </c>
    </row>
    <row r="571" spans="1:28" ht="38.25" x14ac:dyDescent="0.2">
      <c r="A571" s="207" t="s">
        <v>327</v>
      </c>
      <c r="B571" s="387" t="s">
        <v>118</v>
      </c>
      <c r="C571" s="138" t="s">
        <v>71</v>
      </c>
      <c r="D571" s="387" t="s">
        <v>73</v>
      </c>
      <c r="E571" s="387" t="s">
        <v>157</v>
      </c>
      <c r="F571" s="516" t="s">
        <v>135</v>
      </c>
      <c r="G571" s="516" t="s">
        <v>135</v>
      </c>
      <c r="H571" s="516" t="s">
        <v>135</v>
      </c>
      <c r="I571" s="516" t="s">
        <v>136</v>
      </c>
      <c r="J571" s="517" t="s">
        <v>135</v>
      </c>
      <c r="K571" s="309"/>
      <c r="L571" s="68"/>
      <c r="M571" s="69"/>
      <c r="N571" s="216"/>
      <c r="O571" s="216"/>
      <c r="P571" s="216">
        <f>P572</f>
        <v>0</v>
      </c>
      <c r="Q571" s="215"/>
      <c r="R571" s="216"/>
      <c r="S571" s="216">
        <f t="shared" si="295"/>
        <v>50000</v>
      </c>
      <c r="T571" s="216">
        <f t="shared" si="295"/>
        <v>50000</v>
      </c>
      <c r="U571" s="217">
        <f t="shared" si="295"/>
        <v>0</v>
      </c>
      <c r="V571" s="216"/>
      <c r="W571" s="215"/>
      <c r="X571" s="68">
        <f t="shared" si="296"/>
        <v>0</v>
      </c>
      <c r="Y571" s="216">
        <f t="shared" si="296"/>
        <v>0</v>
      </c>
      <c r="Z571" s="217">
        <f t="shared" si="296"/>
        <v>0</v>
      </c>
      <c r="AA571" s="217">
        <f t="shared" si="296"/>
        <v>0</v>
      </c>
      <c r="AB571" s="217">
        <f t="shared" si="296"/>
        <v>0</v>
      </c>
    </row>
    <row r="572" spans="1:28" ht="51" x14ac:dyDescent="0.2">
      <c r="A572" s="212" t="s">
        <v>442</v>
      </c>
      <c r="B572" s="58" t="s">
        <v>118</v>
      </c>
      <c r="C572" s="59" t="s">
        <v>71</v>
      </c>
      <c r="D572" s="58" t="s">
        <v>73</v>
      </c>
      <c r="E572" s="103" t="s">
        <v>157</v>
      </c>
      <c r="F572" s="66" t="s">
        <v>135</v>
      </c>
      <c r="G572" s="66" t="s">
        <v>135</v>
      </c>
      <c r="H572" s="66" t="s">
        <v>135</v>
      </c>
      <c r="I572" s="66" t="s">
        <v>443</v>
      </c>
      <c r="J572" s="67" t="s">
        <v>137</v>
      </c>
      <c r="K572" s="309"/>
      <c r="L572" s="68"/>
      <c r="M572" s="69"/>
      <c r="N572" s="216"/>
      <c r="O572" s="216"/>
      <c r="P572" s="216">
        <f>P573</f>
        <v>0</v>
      </c>
      <c r="Q572" s="215"/>
      <c r="R572" s="216"/>
      <c r="S572" s="216">
        <f t="shared" si="295"/>
        <v>50000</v>
      </c>
      <c r="T572" s="216">
        <f t="shared" si="295"/>
        <v>50000</v>
      </c>
      <c r="U572" s="217">
        <f t="shared" si="295"/>
        <v>0</v>
      </c>
      <c r="V572" s="216"/>
      <c r="W572" s="215"/>
      <c r="X572" s="68">
        <f t="shared" si="296"/>
        <v>0</v>
      </c>
      <c r="Y572" s="216">
        <f t="shared" si="296"/>
        <v>0</v>
      </c>
      <c r="Z572" s="217">
        <f t="shared" si="296"/>
        <v>0</v>
      </c>
      <c r="AA572" s="217">
        <f t="shared" si="296"/>
        <v>0</v>
      </c>
      <c r="AB572" s="217">
        <f t="shared" si="296"/>
        <v>0</v>
      </c>
    </row>
    <row r="573" spans="1:28" ht="25.5" x14ac:dyDescent="0.2">
      <c r="A573" s="212" t="s">
        <v>52</v>
      </c>
      <c r="B573" s="58" t="s">
        <v>118</v>
      </c>
      <c r="C573" s="59" t="s">
        <v>71</v>
      </c>
      <c r="D573" s="58" t="s">
        <v>73</v>
      </c>
      <c r="E573" s="103" t="s">
        <v>157</v>
      </c>
      <c r="F573" s="66" t="s">
        <v>135</v>
      </c>
      <c r="G573" s="66" t="s">
        <v>135</v>
      </c>
      <c r="H573" s="66" t="s">
        <v>135</v>
      </c>
      <c r="I573" s="66" t="s">
        <v>443</v>
      </c>
      <c r="J573" s="67" t="s">
        <v>137</v>
      </c>
      <c r="K573" s="309" t="s">
        <v>53</v>
      </c>
      <c r="L573" s="68"/>
      <c r="M573" s="69"/>
      <c r="N573" s="216"/>
      <c r="O573" s="216"/>
      <c r="P573" s="216">
        <f>P574</f>
        <v>0</v>
      </c>
      <c r="Q573" s="215"/>
      <c r="R573" s="216"/>
      <c r="S573" s="216">
        <f t="shared" si="295"/>
        <v>50000</v>
      </c>
      <c r="T573" s="216">
        <f t="shared" si="295"/>
        <v>50000</v>
      </c>
      <c r="U573" s="217">
        <f t="shared" si="295"/>
        <v>0</v>
      </c>
      <c r="V573" s="216"/>
      <c r="W573" s="215"/>
      <c r="X573" s="68">
        <f t="shared" si="296"/>
        <v>0</v>
      </c>
      <c r="Y573" s="216">
        <f t="shared" si="296"/>
        <v>0</v>
      </c>
      <c r="Z573" s="217">
        <f t="shared" si="296"/>
        <v>0</v>
      </c>
      <c r="AA573" s="217">
        <f t="shared" si="296"/>
        <v>0</v>
      </c>
      <c r="AB573" s="217">
        <f t="shared" si="296"/>
        <v>0</v>
      </c>
    </row>
    <row r="574" spans="1:28" ht="25.5" x14ac:dyDescent="0.2">
      <c r="A574" s="212" t="s">
        <v>54</v>
      </c>
      <c r="B574" s="58" t="s">
        <v>118</v>
      </c>
      <c r="C574" s="59" t="s">
        <v>71</v>
      </c>
      <c r="D574" s="58" t="s">
        <v>73</v>
      </c>
      <c r="E574" s="103" t="s">
        <v>157</v>
      </c>
      <c r="F574" s="66" t="s">
        <v>135</v>
      </c>
      <c r="G574" s="66" t="s">
        <v>135</v>
      </c>
      <c r="H574" s="66" t="s">
        <v>135</v>
      </c>
      <c r="I574" s="66" t="s">
        <v>443</v>
      </c>
      <c r="J574" s="67" t="s">
        <v>137</v>
      </c>
      <c r="K574" s="309" t="s">
        <v>55</v>
      </c>
      <c r="L574" s="68"/>
      <c r="M574" s="69"/>
      <c r="N574" s="216"/>
      <c r="O574" s="216"/>
      <c r="P574" s="216">
        <v>0</v>
      </c>
      <c r="Q574" s="215"/>
      <c r="R574" s="216"/>
      <c r="S574" s="216">
        <f>49950+50</f>
        <v>50000</v>
      </c>
      <c r="T574" s="216">
        <f>S574</f>
        <v>50000</v>
      </c>
      <c r="U574" s="217">
        <v>0</v>
      </c>
      <c r="V574" s="216"/>
      <c r="W574" s="215"/>
      <c r="X574" s="68">
        <v>0</v>
      </c>
      <c r="Y574" s="216">
        <v>0</v>
      </c>
      <c r="Z574" s="217">
        <v>0</v>
      </c>
      <c r="AA574" s="217">
        <v>0</v>
      </c>
      <c r="AB574" s="217">
        <v>0</v>
      </c>
    </row>
    <row r="575" spans="1:28" x14ac:dyDescent="0.2">
      <c r="A575" s="207" t="s">
        <v>94</v>
      </c>
      <c r="B575" s="58" t="s">
        <v>118</v>
      </c>
      <c r="C575" s="59" t="s">
        <v>71</v>
      </c>
      <c r="D575" s="58" t="s">
        <v>100</v>
      </c>
      <c r="E575" s="58"/>
      <c r="F575" s="60"/>
      <c r="G575" s="66"/>
      <c r="H575" s="66"/>
      <c r="I575" s="60"/>
      <c r="J575" s="76"/>
      <c r="K575" s="408"/>
      <c r="L575" s="101">
        <f t="shared" ref="L575:P581" si="297">L576</f>
        <v>595000</v>
      </c>
      <c r="M575" s="102">
        <f t="shared" si="297"/>
        <v>-95000</v>
      </c>
      <c r="N575" s="248">
        <f t="shared" si="297"/>
        <v>0</v>
      </c>
      <c r="O575" s="248">
        <f t="shared" si="297"/>
        <v>0</v>
      </c>
      <c r="P575" s="248">
        <f t="shared" si="297"/>
        <v>80000</v>
      </c>
      <c r="Q575" s="473">
        <f t="shared" ref="Q575:AB581" si="298">Q576</f>
        <v>7520390.3399999999</v>
      </c>
      <c r="R575" s="248">
        <f t="shared" si="298"/>
        <v>0</v>
      </c>
      <c r="S575" s="248">
        <f t="shared" si="298"/>
        <v>49950</v>
      </c>
      <c r="T575" s="248">
        <f t="shared" si="298"/>
        <v>129950</v>
      </c>
      <c r="U575" s="249">
        <f t="shared" si="298"/>
        <v>1095000</v>
      </c>
      <c r="V575" s="248">
        <f t="shared" si="298"/>
        <v>7575760.6500000004</v>
      </c>
      <c r="W575" s="473">
        <f t="shared" si="298"/>
        <v>0</v>
      </c>
      <c r="X575" s="473">
        <f t="shared" si="298"/>
        <v>0</v>
      </c>
      <c r="Y575" s="248">
        <f t="shared" si="298"/>
        <v>1095000</v>
      </c>
      <c r="Z575" s="249">
        <f t="shared" si="298"/>
        <v>1095000</v>
      </c>
      <c r="AA575" s="248">
        <f>AA576</f>
        <v>0</v>
      </c>
      <c r="AB575" s="248">
        <f t="shared" si="298"/>
        <v>1095000</v>
      </c>
    </row>
    <row r="576" spans="1:28" ht="38.25" x14ac:dyDescent="0.2">
      <c r="A576" s="226" t="s">
        <v>327</v>
      </c>
      <c r="B576" s="58" t="s">
        <v>118</v>
      </c>
      <c r="C576" s="59" t="s">
        <v>71</v>
      </c>
      <c r="D576" s="58" t="s">
        <v>100</v>
      </c>
      <c r="E576" s="104" t="s">
        <v>157</v>
      </c>
      <c r="F576" s="81" t="s">
        <v>135</v>
      </c>
      <c r="G576" s="66" t="s">
        <v>135</v>
      </c>
      <c r="H576" s="66" t="s">
        <v>135</v>
      </c>
      <c r="I576" s="81" t="s">
        <v>136</v>
      </c>
      <c r="J576" s="67" t="s">
        <v>135</v>
      </c>
      <c r="K576" s="408"/>
      <c r="L576" s="101">
        <f>L580</f>
        <v>595000</v>
      </c>
      <c r="M576" s="102">
        <f>M580</f>
        <v>-95000</v>
      </c>
      <c r="N576" s="248">
        <f>N580</f>
        <v>0</v>
      </c>
      <c r="O576" s="248">
        <f>O580</f>
        <v>0</v>
      </c>
      <c r="P576" s="248">
        <f>P580+P577</f>
        <v>80000</v>
      </c>
      <c r="Q576" s="248">
        <f t="shared" ref="Q576:AB576" si="299">Q580+Q577</f>
        <v>7520390.3399999999</v>
      </c>
      <c r="R576" s="248">
        <f t="shared" si="299"/>
        <v>0</v>
      </c>
      <c r="S576" s="248">
        <f t="shared" si="299"/>
        <v>49950</v>
      </c>
      <c r="T576" s="248">
        <f t="shared" si="299"/>
        <v>129950</v>
      </c>
      <c r="U576" s="249">
        <f t="shared" si="299"/>
        <v>1095000</v>
      </c>
      <c r="V576" s="248">
        <f t="shared" si="299"/>
        <v>7575760.6500000004</v>
      </c>
      <c r="W576" s="248">
        <f t="shared" si="299"/>
        <v>0</v>
      </c>
      <c r="X576" s="473">
        <f t="shared" si="299"/>
        <v>0</v>
      </c>
      <c r="Y576" s="248">
        <f t="shared" si="299"/>
        <v>1095000</v>
      </c>
      <c r="Z576" s="249">
        <f t="shared" si="299"/>
        <v>1095000</v>
      </c>
      <c r="AA576" s="248">
        <f t="shared" si="299"/>
        <v>0</v>
      </c>
      <c r="AB576" s="248">
        <f t="shared" si="299"/>
        <v>1095000</v>
      </c>
    </row>
    <row r="577" spans="1:28" ht="25.5" hidden="1" customHeight="1" x14ac:dyDescent="0.2">
      <c r="A577" s="207" t="s">
        <v>47</v>
      </c>
      <c r="B577" s="58" t="s">
        <v>118</v>
      </c>
      <c r="C577" s="59" t="s">
        <v>71</v>
      </c>
      <c r="D577" s="58" t="s">
        <v>100</v>
      </c>
      <c r="E577" s="117" t="s">
        <v>157</v>
      </c>
      <c r="F577" s="72" t="s">
        <v>135</v>
      </c>
      <c r="G577" s="66" t="s">
        <v>135</v>
      </c>
      <c r="H577" s="66" t="s">
        <v>135</v>
      </c>
      <c r="I577" s="72" t="s">
        <v>16</v>
      </c>
      <c r="J577" s="67" t="s">
        <v>135</v>
      </c>
      <c r="K577" s="309"/>
      <c r="L577" s="101">
        <f t="shared" ref="L577:R577" si="300">L578+L580</f>
        <v>7515162.1600000001</v>
      </c>
      <c r="M577" s="102">
        <f t="shared" si="300"/>
        <v>-4831052.88</v>
      </c>
      <c r="N577" s="248">
        <f t="shared" si="300"/>
        <v>56000</v>
      </c>
      <c r="O577" s="248">
        <f t="shared" si="300"/>
        <v>-56000</v>
      </c>
      <c r="P577" s="248">
        <f>P578</f>
        <v>0</v>
      </c>
      <c r="Q577" s="473">
        <f t="shared" si="300"/>
        <v>6425390.3399999999</v>
      </c>
      <c r="R577" s="248">
        <f t="shared" si="300"/>
        <v>0</v>
      </c>
      <c r="S577" s="248">
        <f>S578</f>
        <v>0</v>
      </c>
      <c r="T577" s="248">
        <f>T578</f>
        <v>0</v>
      </c>
      <c r="U577" s="249">
        <f>U578</f>
        <v>0</v>
      </c>
      <c r="V577" s="248">
        <f t="shared" ref="V577:W577" si="301">V578+V580</f>
        <v>6480760.6500000004</v>
      </c>
      <c r="W577" s="473">
        <f t="shared" si="301"/>
        <v>0</v>
      </c>
      <c r="X577" s="473">
        <f>X578+X580</f>
        <v>0</v>
      </c>
      <c r="Y577" s="248">
        <f>Y578</f>
        <v>0</v>
      </c>
      <c r="Z577" s="249">
        <f>Z578</f>
        <v>0</v>
      </c>
      <c r="AA577" s="248">
        <f>AA578+AA580</f>
        <v>0</v>
      </c>
      <c r="AB577" s="248">
        <f>AB578</f>
        <v>0</v>
      </c>
    </row>
    <row r="578" spans="1:28" ht="25.5" hidden="1" customHeight="1" x14ac:dyDescent="0.2">
      <c r="A578" s="212" t="s">
        <v>52</v>
      </c>
      <c r="B578" s="58" t="s">
        <v>118</v>
      </c>
      <c r="C578" s="59" t="s">
        <v>71</v>
      </c>
      <c r="D578" s="58" t="s">
        <v>100</v>
      </c>
      <c r="E578" s="117" t="s">
        <v>157</v>
      </c>
      <c r="F578" s="72" t="s">
        <v>135</v>
      </c>
      <c r="G578" s="66" t="s">
        <v>135</v>
      </c>
      <c r="H578" s="66" t="s">
        <v>135</v>
      </c>
      <c r="I578" s="72" t="s">
        <v>16</v>
      </c>
      <c r="J578" s="67" t="s">
        <v>135</v>
      </c>
      <c r="K578" s="214">
        <v>200</v>
      </c>
      <c r="L578" s="101">
        <f t="shared" ref="L578:AB578" si="302">L579</f>
        <v>6920162.1600000001</v>
      </c>
      <c r="M578" s="102">
        <f t="shared" si="302"/>
        <v>-4736052.88</v>
      </c>
      <c r="N578" s="248">
        <f t="shared" si="302"/>
        <v>56000</v>
      </c>
      <c r="O578" s="248">
        <f t="shared" si="302"/>
        <v>-56000</v>
      </c>
      <c r="P578" s="248">
        <f t="shared" si="302"/>
        <v>0</v>
      </c>
      <c r="Q578" s="473">
        <f t="shared" si="302"/>
        <v>5330390.34</v>
      </c>
      <c r="R578" s="248">
        <f t="shared" si="302"/>
        <v>0</v>
      </c>
      <c r="S578" s="248">
        <f t="shared" si="302"/>
        <v>0</v>
      </c>
      <c r="T578" s="248">
        <f t="shared" si="302"/>
        <v>0</v>
      </c>
      <c r="U578" s="249">
        <f t="shared" si="302"/>
        <v>0</v>
      </c>
      <c r="V578" s="248">
        <f t="shared" si="302"/>
        <v>5385760.6500000004</v>
      </c>
      <c r="W578" s="473">
        <f t="shared" si="302"/>
        <v>0</v>
      </c>
      <c r="X578" s="473">
        <f t="shared" si="302"/>
        <v>0</v>
      </c>
      <c r="Y578" s="248">
        <f t="shared" si="302"/>
        <v>0</v>
      </c>
      <c r="Z578" s="249">
        <f t="shared" si="302"/>
        <v>0</v>
      </c>
      <c r="AA578" s="248">
        <f t="shared" si="302"/>
        <v>0</v>
      </c>
      <c r="AB578" s="248">
        <f t="shared" si="302"/>
        <v>0</v>
      </c>
    </row>
    <row r="579" spans="1:28" ht="25.5" hidden="1" customHeight="1" x14ac:dyDescent="0.2">
      <c r="A579" s="212" t="s">
        <v>54</v>
      </c>
      <c r="B579" s="58" t="s">
        <v>118</v>
      </c>
      <c r="C579" s="59" t="s">
        <v>71</v>
      </c>
      <c r="D579" s="58" t="s">
        <v>100</v>
      </c>
      <c r="E579" s="117" t="s">
        <v>157</v>
      </c>
      <c r="F579" s="72" t="s">
        <v>135</v>
      </c>
      <c r="G579" s="66" t="s">
        <v>135</v>
      </c>
      <c r="H579" s="66" t="s">
        <v>135</v>
      </c>
      <c r="I579" s="72" t="s">
        <v>16</v>
      </c>
      <c r="J579" s="67" t="s">
        <v>135</v>
      </c>
      <c r="K579" s="214">
        <v>240</v>
      </c>
      <c r="L579" s="68">
        <f>3402361.34-70000+3587800.82</f>
        <v>6920162.1600000001</v>
      </c>
      <c r="M579" s="69">
        <f>-2099536.43-2287630.73-348885.72</f>
        <v>-4736052.88</v>
      </c>
      <c r="N579" s="216">
        <v>56000</v>
      </c>
      <c r="O579" s="216">
        <v>-56000</v>
      </c>
      <c r="P579" s="216">
        <v>0</v>
      </c>
      <c r="Q579" s="215">
        <f>1400000+100000+2340000+418296.5+25727.05+1046366.79</f>
        <v>5330390.34</v>
      </c>
      <c r="R579" s="216">
        <v>0</v>
      </c>
      <c r="S579" s="216">
        <v>0</v>
      </c>
      <c r="T579" s="216">
        <f>S579+P579</f>
        <v>0</v>
      </c>
      <c r="U579" s="217">
        <v>0</v>
      </c>
      <c r="V579" s="216">
        <f>1400000+100000+2340000+418296.5+27242.83+1100221.32</f>
        <v>5385760.6500000004</v>
      </c>
      <c r="W579" s="215">
        <v>0</v>
      </c>
      <c r="X579" s="215">
        <v>0</v>
      </c>
      <c r="Y579" s="216">
        <v>0</v>
      </c>
      <c r="Z579" s="217">
        <v>0</v>
      </c>
      <c r="AA579" s="216">
        <v>0</v>
      </c>
      <c r="AB579" s="216">
        <v>0</v>
      </c>
    </row>
    <row r="580" spans="1:28" x14ac:dyDescent="0.2">
      <c r="A580" s="212" t="s">
        <v>96</v>
      </c>
      <c r="B580" s="58" t="s">
        <v>118</v>
      </c>
      <c r="C580" s="59" t="s">
        <v>71</v>
      </c>
      <c r="D580" s="58" t="s">
        <v>100</v>
      </c>
      <c r="E580" s="103" t="s">
        <v>157</v>
      </c>
      <c r="F580" s="66" t="s">
        <v>135</v>
      </c>
      <c r="G580" s="66" t="s">
        <v>135</v>
      </c>
      <c r="H580" s="66" t="s">
        <v>135</v>
      </c>
      <c r="I580" s="66" t="s">
        <v>141</v>
      </c>
      <c r="J580" s="67" t="s">
        <v>135</v>
      </c>
      <c r="K580" s="309"/>
      <c r="L580" s="68">
        <f t="shared" si="297"/>
        <v>595000</v>
      </c>
      <c r="M580" s="69">
        <f t="shared" si="297"/>
        <v>-95000</v>
      </c>
      <c r="N580" s="216">
        <f t="shared" si="297"/>
        <v>0</v>
      </c>
      <c r="O580" s="216">
        <f t="shared" si="297"/>
        <v>0</v>
      </c>
      <c r="P580" s="216">
        <f t="shared" si="297"/>
        <v>80000</v>
      </c>
      <c r="Q580" s="215">
        <f t="shared" si="298"/>
        <v>1095000</v>
      </c>
      <c r="R580" s="216">
        <f t="shared" si="298"/>
        <v>0</v>
      </c>
      <c r="S580" s="216">
        <f t="shared" si="298"/>
        <v>49950</v>
      </c>
      <c r="T580" s="216">
        <f t="shared" si="298"/>
        <v>129950</v>
      </c>
      <c r="U580" s="217">
        <f t="shared" si="298"/>
        <v>1095000</v>
      </c>
      <c r="V580" s="216">
        <f t="shared" si="298"/>
        <v>1095000</v>
      </c>
      <c r="W580" s="215">
        <f t="shared" si="298"/>
        <v>0</v>
      </c>
      <c r="X580" s="215">
        <f t="shared" si="298"/>
        <v>0</v>
      </c>
      <c r="Y580" s="216">
        <f t="shared" si="298"/>
        <v>1095000</v>
      </c>
      <c r="Z580" s="217">
        <f t="shared" si="298"/>
        <v>1095000</v>
      </c>
      <c r="AA580" s="216">
        <f t="shared" si="298"/>
        <v>0</v>
      </c>
      <c r="AB580" s="216">
        <f t="shared" si="298"/>
        <v>1095000</v>
      </c>
    </row>
    <row r="581" spans="1:28" ht="25.5" x14ac:dyDescent="0.2">
      <c r="A581" s="212" t="s">
        <v>52</v>
      </c>
      <c r="B581" s="58" t="s">
        <v>118</v>
      </c>
      <c r="C581" s="59" t="s">
        <v>71</v>
      </c>
      <c r="D581" s="58" t="s">
        <v>100</v>
      </c>
      <c r="E581" s="103" t="s">
        <v>157</v>
      </c>
      <c r="F581" s="66" t="s">
        <v>135</v>
      </c>
      <c r="G581" s="66" t="s">
        <v>135</v>
      </c>
      <c r="H581" s="66" t="s">
        <v>135</v>
      </c>
      <c r="I581" s="66" t="s">
        <v>141</v>
      </c>
      <c r="J581" s="67" t="s">
        <v>135</v>
      </c>
      <c r="K581" s="309" t="s">
        <v>53</v>
      </c>
      <c r="L581" s="68">
        <f t="shared" si="297"/>
        <v>595000</v>
      </c>
      <c r="M581" s="69">
        <f t="shared" si="297"/>
        <v>-95000</v>
      </c>
      <c r="N581" s="216">
        <f t="shared" si="297"/>
        <v>0</v>
      </c>
      <c r="O581" s="216">
        <f t="shared" si="297"/>
        <v>0</v>
      </c>
      <c r="P581" s="216">
        <f t="shared" si="297"/>
        <v>80000</v>
      </c>
      <c r="Q581" s="215">
        <f t="shared" si="298"/>
        <v>1095000</v>
      </c>
      <c r="R581" s="216">
        <f t="shared" si="298"/>
        <v>0</v>
      </c>
      <c r="S581" s="216">
        <f t="shared" si="298"/>
        <v>49950</v>
      </c>
      <c r="T581" s="216">
        <f t="shared" si="298"/>
        <v>129950</v>
      </c>
      <c r="U581" s="217">
        <f t="shared" si="298"/>
        <v>1095000</v>
      </c>
      <c r="V581" s="216">
        <f t="shared" si="298"/>
        <v>1095000</v>
      </c>
      <c r="W581" s="215">
        <f t="shared" si="298"/>
        <v>0</v>
      </c>
      <c r="X581" s="215">
        <f t="shared" si="298"/>
        <v>0</v>
      </c>
      <c r="Y581" s="216">
        <f t="shared" si="298"/>
        <v>1095000</v>
      </c>
      <c r="Z581" s="217">
        <f t="shared" si="298"/>
        <v>1095000</v>
      </c>
      <c r="AA581" s="216">
        <f t="shared" si="298"/>
        <v>0</v>
      </c>
      <c r="AB581" s="216">
        <f t="shared" si="298"/>
        <v>1095000</v>
      </c>
    </row>
    <row r="582" spans="1:28" ht="25.5" x14ac:dyDescent="0.2">
      <c r="A582" s="212" t="s">
        <v>54</v>
      </c>
      <c r="B582" s="58" t="s">
        <v>118</v>
      </c>
      <c r="C582" s="59" t="s">
        <v>71</v>
      </c>
      <c r="D582" s="58" t="s">
        <v>100</v>
      </c>
      <c r="E582" s="103" t="s">
        <v>157</v>
      </c>
      <c r="F582" s="66" t="s">
        <v>135</v>
      </c>
      <c r="G582" s="66" t="s">
        <v>135</v>
      </c>
      <c r="H582" s="66" t="s">
        <v>135</v>
      </c>
      <c r="I582" s="66" t="s">
        <v>141</v>
      </c>
      <c r="J582" s="67" t="s">
        <v>135</v>
      </c>
      <c r="K582" s="309" t="s">
        <v>55</v>
      </c>
      <c r="L582" s="68">
        <v>595000</v>
      </c>
      <c r="M582" s="69">
        <v>-95000</v>
      </c>
      <c r="N582" s="216">
        <v>0</v>
      </c>
      <c r="O582" s="216">
        <v>0</v>
      </c>
      <c r="P582" s="216">
        <v>80000</v>
      </c>
      <c r="Q582" s="215">
        <f>200000+895000</f>
        <v>1095000</v>
      </c>
      <c r="R582" s="216">
        <v>0</v>
      </c>
      <c r="S582" s="216">
        <f>-50+50000</f>
        <v>49950</v>
      </c>
      <c r="T582" s="216">
        <f>S582+P582</f>
        <v>129950</v>
      </c>
      <c r="U582" s="217">
        <f>200000+895000</f>
        <v>1095000</v>
      </c>
      <c r="V582" s="216">
        <f>200000+895000</f>
        <v>1095000</v>
      </c>
      <c r="W582" s="215">
        <v>0</v>
      </c>
      <c r="X582" s="215">
        <v>0</v>
      </c>
      <c r="Y582" s="216">
        <f>200000+895000</f>
        <v>1095000</v>
      </c>
      <c r="Z582" s="217">
        <f>200000+895000</f>
        <v>1095000</v>
      </c>
      <c r="AA582" s="216">
        <v>0</v>
      </c>
      <c r="AB582" s="216">
        <f>200000+895000</f>
        <v>1095000</v>
      </c>
    </row>
    <row r="583" spans="1:28" x14ac:dyDescent="0.2">
      <c r="A583" s="400" t="s">
        <v>77</v>
      </c>
      <c r="B583" s="58" t="s">
        <v>118</v>
      </c>
      <c r="C583" s="59" t="s">
        <v>73</v>
      </c>
      <c r="D583" s="58"/>
      <c r="E583" s="58"/>
      <c r="F583" s="60"/>
      <c r="G583" s="66"/>
      <c r="H583" s="66"/>
      <c r="I583" s="60"/>
      <c r="J583" s="76"/>
      <c r="K583" s="408"/>
      <c r="L583" s="101" t="e">
        <f>L584+L626+L599</f>
        <v>#REF!</v>
      </c>
      <c r="M583" s="102" t="e">
        <f>M584+M626+M599</f>
        <v>#REF!</v>
      </c>
      <c r="N583" s="248">
        <f t="shared" ref="N583:Z583" si="303">N584+N626+N599+N609+N614</f>
        <v>0</v>
      </c>
      <c r="O583" s="248">
        <f t="shared" si="303"/>
        <v>0</v>
      </c>
      <c r="P583" s="248">
        <f t="shared" si="303"/>
        <v>19229292.699999999</v>
      </c>
      <c r="Q583" s="473">
        <f t="shared" si="303"/>
        <v>45946652.829999998</v>
      </c>
      <c r="R583" s="248">
        <f t="shared" si="303"/>
        <v>0</v>
      </c>
      <c r="S583" s="248">
        <f>S584+S626+S599+S609+S614</f>
        <v>2984277.55</v>
      </c>
      <c r="T583" s="248">
        <f>T584+T626+T599+T609+T614</f>
        <v>22213570.25</v>
      </c>
      <c r="U583" s="249">
        <f t="shared" si="303"/>
        <v>61218132.640000001</v>
      </c>
      <c r="V583" s="248">
        <f t="shared" si="303"/>
        <v>21390817.73</v>
      </c>
      <c r="W583" s="473">
        <f t="shared" si="303"/>
        <v>0</v>
      </c>
      <c r="X583" s="473">
        <f>X584+X626+X599+X609+X614</f>
        <v>34747</v>
      </c>
      <c r="Y583" s="248">
        <f>Y584+Y626+Y599+Y609+Y614</f>
        <v>61252879.640000001</v>
      </c>
      <c r="Z583" s="249">
        <f t="shared" si="303"/>
        <v>43680323.640000001</v>
      </c>
      <c r="AA583" s="248">
        <f>AA584+AA626+AA599+AA609+AA614</f>
        <v>34747</v>
      </c>
      <c r="AB583" s="248">
        <f>AB584+AB626+AB599+AB609+AB614</f>
        <v>43715070.640000001</v>
      </c>
    </row>
    <row r="584" spans="1:28" x14ac:dyDescent="0.2">
      <c r="A584" s="400" t="s">
        <v>130</v>
      </c>
      <c r="B584" s="58" t="s">
        <v>118</v>
      </c>
      <c r="C584" s="59" t="s">
        <v>73</v>
      </c>
      <c r="D584" s="58" t="s">
        <v>69</v>
      </c>
      <c r="E584" s="58"/>
      <c r="F584" s="60"/>
      <c r="G584" s="66"/>
      <c r="H584" s="66"/>
      <c r="I584" s="60"/>
      <c r="J584" s="76"/>
      <c r="K584" s="408"/>
      <c r="L584" s="101" t="e">
        <f>#REF!+L595+#REF!</f>
        <v>#REF!</v>
      </c>
      <c r="M584" s="102" t="e">
        <f>#REF!+M595+#REF!</f>
        <v>#REF!</v>
      </c>
      <c r="N584" s="248">
        <f t="shared" ref="N584:Z584" si="304">N595+N585</f>
        <v>0</v>
      </c>
      <c r="O584" s="248">
        <f t="shared" si="304"/>
        <v>0</v>
      </c>
      <c r="P584" s="248">
        <f t="shared" si="304"/>
        <v>1781620</v>
      </c>
      <c r="Q584" s="473">
        <f t="shared" si="304"/>
        <v>30040879.149999999</v>
      </c>
      <c r="R584" s="248">
        <f t="shared" si="304"/>
        <v>0</v>
      </c>
      <c r="S584" s="248">
        <f>S595+S585</f>
        <v>-829620</v>
      </c>
      <c r="T584" s="248">
        <f>T595+T585</f>
        <v>952000</v>
      </c>
      <c r="U584" s="249">
        <f t="shared" si="304"/>
        <v>19818879.149999999</v>
      </c>
      <c r="V584" s="248">
        <f t="shared" si="304"/>
        <v>12889694.75</v>
      </c>
      <c r="W584" s="473">
        <f t="shared" si="304"/>
        <v>0</v>
      </c>
      <c r="X584" s="473">
        <f>X595+X585</f>
        <v>0</v>
      </c>
      <c r="Y584" s="248">
        <f>Y595+Y585</f>
        <v>19818879.149999999</v>
      </c>
      <c r="Z584" s="249">
        <f t="shared" si="304"/>
        <v>7625694.7499999991</v>
      </c>
      <c r="AA584" s="248">
        <f>AA595+AA585</f>
        <v>0</v>
      </c>
      <c r="AB584" s="248">
        <f>AB595+AB585</f>
        <v>7625694.7499999991</v>
      </c>
    </row>
    <row r="585" spans="1:28" ht="38.25" x14ac:dyDescent="0.2">
      <c r="A585" s="226" t="s">
        <v>330</v>
      </c>
      <c r="B585" s="58" t="s">
        <v>118</v>
      </c>
      <c r="C585" s="59" t="s">
        <v>73</v>
      </c>
      <c r="D585" s="58" t="s">
        <v>69</v>
      </c>
      <c r="E585" s="103" t="s">
        <v>76</v>
      </c>
      <c r="F585" s="66" t="s">
        <v>135</v>
      </c>
      <c r="G585" s="66" t="s">
        <v>135</v>
      </c>
      <c r="H585" s="66" t="s">
        <v>135</v>
      </c>
      <c r="I585" s="66" t="s">
        <v>136</v>
      </c>
      <c r="J585" s="67" t="s">
        <v>135</v>
      </c>
      <c r="K585" s="309"/>
      <c r="L585" s="101"/>
      <c r="M585" s="102"/>
      <c r="N585" s="248">
        <f>N586+N589</f>
        <v>0</v>
      </c>
      <c r="O585" s="248">
        <f>O586+O589</f>
        <v>0</v>
      </c>
      <c r="P585" s="248">
        <f>P586+P589+P592</f>
        <v>1781620</v>
      </c>
      <c r="Q585" s="248">
        <f t="shared" ref="Q585:AB585" si="305">Q586+Q589+Q592</f>
        <v>29587504.289999999</v>
      </c>
      <c r="R585" s="248">
        <f t="shared" si="305"/>
        <v>0</v>
      </c>
      <c r="S585" s="248">
        <f t="shared" si="305"/>
        <v>-829620</v>
      </c>
      <c r="T585" s="248">
        <f t="shared" si="305"/>
        <v>952000</v>
      </c>
      <c r="U585" s="249">
        <f t="shared" si="305"/>
        <v>19365504.289999999</v>
      </c>
      <c r="V585" s="248">
        <f t="shared" si="305"/>
        <v>12683207.189999999</v>
      </c>
      <c r="W585" s="248">
        <f t="shared" si="305"/>
        <v>0</v>
      </c>
      <c r="X585" s="473">
        <f t="shared" si="305"/>
        <v>0</v>
      </c>
      <c r="Y585" s="248">
        <f t="shared" si="305"/>
        <v>19365504.289999999</v>
      </c>
      <c r="Z585" s="249">
        <f t="shared" si="305"/>
        <v>7419207.1899999995</v>
      </c>
      <c r="AA585" s="248">
        <f t="shared" si="305"/>
        <v>0</v>
      </c>
      <c r="AB585" s="248">
        <f t="shared" si="305"/>
        <v>7419207.1899999995</v>
      </c>
    </row>
    <row r="586" spans="1:28" x14ac:dyDescent="0.2">
      <c r="A586" s="212" t="s">
        <v>185</v>
      </c>
      <c r="B586" s="58" t="s">
        <v>118</v>
      </c>
      <c r="C586" s="59" t="s">
        <v>73</v>
      </c>
      <c r="D586" s="58" t="s">
        <v>69</v>
      </c>
      <c r="E586" s="117" t="s">
        <v>76</v>
      </c>
      <c r="F586" s="72" t="s">
        <v>135</v>
      </c>
      <c r="G586" s="66" t="s">
        <v>135</v>
      </c>
      <c r="H586" s="66" t="s">
        <v>135</v>
      </c>
      <c r="I586" s="72" t="s">
        <v>186</v>
      </c>
      <c r="J586" s="67" t="s">
        <v>135</v>
      </c>
      <c r="K586" s="309"/>
      <c r="L586" s="68">
        <f t="shared" ref="L586:AB587" si="306">L587</f>
        <v>600000</v>
      </c>
      <c r="M586" s="69">
        <f t="shared" si="306"/>
        <v>0</v>
      </c>
      <c r="N586" s="216">
        <f t="shared" si="306"/>
        <v>0</v>
      </c>
      <c r="O586" s="216">
        <f t="shared" si="306"/>
        <v>0</v>
      </c>
      <c r="P586" s="216">
        <f t="shared" si="306"/>
        <v>0</v>
      </c>
      <c r="Q586" s="215">
        <f t="shared" si="306"/>
        <v>9143504.2899999991</v>
      </c>
      <c r="R586" s="216">
        <f t="shared" si="306"/>
        <v>0</v>
      </c>
      <c r="S586" s="216">
        <f t="shared" si="306"/>
        <v>0</v>
      </c>
      <c r="T586" s="216">
        <f t="shared" si="306"/>
        <v>0</v>
      </c>
      <c r="U586" s="217">
        <f t="shared" si="306"/>
        <v>9143504.2899999991</v>
      </c>
      <c r="V586" s="216">
        <f t="shared" si="306"/>
        <v>2155207.19</v>
      </c>
      <c r="W586" s="215">
        <f t="shared" si="306"/>
        <v>0</v>
      </c>
      <c r="X586" s="215">
        <f t="shared" si="306"/>
        <v>0</v>
      </c>
      <c r="Y586" s="216">
        <f t="shared" si="306"/>
        <v>9143504.2899999991</v>
      </c>
      <c r="Z586" s="217">
        <f t="shared" si="306"/>
        <v>2155207.19</v>
      </c>
      <c r="AA586" s="216">
        <f t="shared" si="306"/>
        <v>0</v>
      </c>
      <c r="AB586" s="216">
        <f t="shared" si="306"/>
        <v>2155207.19</v>
      </c>
    </row>
    <row r="587" spans="1:28" ht="25.5" x14ac:dyDescent="0.2">
      <c r="A587" s="212" t="s">
        <v>52</v>
      </c>
      <c r="B587" s="58" t="s">
        <v>118</v>
      </c>
      <c r="C587" s="59" t="s">
        <v>73</v>
      </c>
      <c r="D587" s="58" t="s">
        <v>69</v>
      </c>
      <c r="E587" s="117" t="s">
        <v>76</v>
      </c>
      <c r="F587" s="72" t="s">
        <v>135</v>
      </c>
      <c r="G587" s="66" t="s">
        <v>135</v>
      </c>
      <c r="H587" s="66" t="s">
        <v>135</v>
      </c>
      <c r="I587" s="72" t="s">
        <v>186</v>
      </c>
      <c r="J587" s="67" t="s">
        <v>135</v>
      </c>
      <c r="K587" s="309">
        <v>200</v>
      </c>
      <c r="L587" s="68">
        <f t="shared" si="306"/>
        <v>600000</v>
      </c>
      <c r="M587" s="69">
        <f t="shared" si="306"/>
        <v>0</v>
      </c>
      <c r="N587" s="216">
        <f t="shared" si="306"/>
        <v>0</v>
      </c>
      <c r="O587" s="216">
        <f t="shared" si="306"/>
        <v>0</v>
      </c>
      <c r="P587" s="216">
        <f t="shared" si="306"/>
        <v>0</v>
      </c>
      <c r="Q587" s="215">
        <f t="shared" si="306"/>
        <v>9143504.2899999991</v>
      </c>
      <c r="R587" s="216">
        <f t="shared" si="306"/>
        <v>0</v>
      </c>
      <c r="S587" s="216">
        <f t="shared" si="306"/>
        <v>0</v>
      </c>
      <c r="T587" s="216">
        <f t="shared" si="306"/>
        <v>0</v>
      </c>
      <c r="U587" s="217">
        <f t="shared" si="306"/>
        <v>9143504.2899999991</v>
      </c>
      <c r="V587" s="216">
        <f t="shared" si="306"/>
        <v>2155207.19</v>
      </c>
      <c r="W587" s="215">
        <f t="shared" si="306"/>
        <v>0</v>
      </c>
      <c r="X587" s="215">
        <f t="shared" si="306"/>
        <v>0</v>
      </c>
      <c r="Y587" s="216">
        <f t="shared" si="306"/>
        <v>9143504.2899999991</v>
      </c>
      <c r="Z587" s="217">
        <f t="shared" si="306"/>
        <v>2155207.19</v>
      </c>
      <c r="AA587" s="216">
        <f t="shared" si="306"/>
        <v>0</v>
      </c>
      <c r="AB587" s="216">
        <f t="shared" si="306"/>
        <v>2155207.19</v>
      </c>
    </row>
    <row r="588" spans="1:28" ht="25.5" x14ac:dyDescent="0.2">
      <c r="A588" s="212" t="s">
        <v>54</v>
      </c>
      <c r="B588" s="58" t="s">
        <v>118</v>
      </c>
      <c r="C588" s="59" t="s">
        <v>73</v>
      </c>
      <c r="D588" s="58" t="s">
        <v>69</v>
      </c>
      <c r="E588" s="117" t="s">
        <v>76</v>
      </c>
      <c r="F588" s="72" t="s">
        <v>135</v>
      </c>
      <c r="G588" s="66" t="s">
        <v>135</v>
      </c>
      <c r="H588" s="66" t="s">
        <v>135</v>
      </c>
      <c r="I588" s="72" t="s">
        <v>186</v>
      </c>
      <c r="J588" s="67" t="s">
        <v>135</v>
      </c>
      <c r="K588" s="309">
        <v>240</v>
      </c>
      <c r="L588" s="68">
        <v>600000</v>
      </c>
      <c r="M588" s="69">
        <v>0</v>
      </c>
      <c r="N588" s="216">
        <v>0</v>
      </c>
      <c r="O588" s="216">
        <v>0</v>
      </c>
      <c r="P588" s="216">
        <v>0</v>
      </c>
      <c r="Q588" s="215">
        <f>4688284.77+4455219.52</f>
        <v>9143504.2899999991</v>
      </c>
      <c r="R588" s="216">
        <v>0</v>
      </c>
      <c r="S588" s="216">
        <v>0</v>
      </c>
      <c r="T588" s="216">
        <v>0</v>
      </c>
      <c r="U588" s="217">
        <f>4688284.77+4455219.52</f>
        <v>9143504.2899999991</v>
      </c>
      <c r="V588" s="216">
        <f>759504.79+1395702.4</f>
        <v>2155207.19</v>
      </c>
      <c r="W588" s="215">
        <v>0</v>
      </c>
      <c r="X588" s="215">
        <v>0</v>
      </c>
      <c r="Y588" s="216">
        <f>4688284.77+4455219.52</f>
        <v>9143504.2899999991</v>
      </c>
      <c r="Z588" s="217">
        <f>759504.79+1395702.4</f>
        <v>2155207.19</v>
      </c>
      <c r="AA588" s="216">
        <v>0</v>
      </c>
      <c r="AB588" s="216">
        <f>759504.79+1395702.4</f>
        <v>2155207.19</v>
      </c>
    </row>
    <row r="589" spans="1:28" ht="25.5" x14ac:dyDescent="0.2">
      <c r="A589" s="212" t="s">
        <v>166</v>
      </c>
      <c r="B589" s="58" t="s">
        <v>118</v>
      </c>
      <c r="C589" s="59" t="s">
        <v>73</v>
      </c>
      <c r="D589" s="58" t="s">
        <v>69</v>
      </c>
      <c r="E589" s="117" t="s">
        <v>76</v>
      </c>
      <c r="F589" s="72" t="s">
        <v>135</v>
      </c>
      <c r="G589" s="66" t="s">
        <v>135</v>
      </c>
      <c r="H589" s="66" t="s">
        <v>135</v>
      </c>
      <c r="I589" s="72" t="s">
        <v>165</v>
      </c>
      <c r="J589" s="67" t="s">
        <v>135</v>
      </c>
      <c r="K589" s="309"/>
      <c r="L589" s="68">
        <f t="shared" ref="L589:AB593" si="307">L590</f>
        <v>600000</v>
      </c>
      <c r="M589" s="69">
        <f t="shared" si="307"/>
        <v>0</v>
      </c>
      <c r="N589" s="216">
        <f t="shared" si="307"/>
        <v>0</v>
      </c>
      <c r="O589" s="216">
        <f t="shared" si="307"/>
        <v>0</v>
      </c>
      <c r="P589" s="216">
        <f t="shared" si="307"/>
        <v>0</v>
      </c>
      <c r="Q589" s="215">
        <f t="shared" si="307"/>
        <v>10222000</v>
      </c>
      <c r="R589" s="216">
        <f t="shared" si="307"/>
        <v>0</v>
      </c>
      <c r="S589" s="216">
        <f t="shared" si="307"/>
        <v>952000</v>
      </c>
      <c r="T589" s="216">
        <f t="shared" si="307"/>
        <v>952000</v>
      </c>
      <c r="U589" s="217">
        <f t="shared" si="307"/>
        <v>10222000</v>
      </c>
      <c r="V589" s="216">
        <f t="shared" si="307"/>
        <v>5264000</v>
      </c>
      <c r="W589" s="215">
        <f t="shared" si="307"/>
        <v>0</v>
      </c>
      <c r="X589" s="215">
        <f t="shared" si="307"/>
        <v>0</v>
      </c>
      <c r="Y589" s="216">
        <f t="shared" si="307"/>
        <v>10222000</v>
      </c>
      <c r="Z589" s="217">
        <f t="shared" si="307"/>
        <v>5264000</v>
      </c>
      <c r="AA589" s="216">
        <f t="shared" si="307"/>
        <v>0</v>
      </c>
      <c r="AB589" s="216">
        <f t="shared" si="307"/>
        <v>5264000</v>
      </c>
    </row>
    <row r="590" spans="1:28" ht="25.5" x14ac:dyDescent="0.2">
      <c r="A590" s="212" t="s">
        <v>52</v>
      </c>
      <c r="B590" s="58" t="s">
        <v>118</v>
      </c>
      <c r="C590" s="59" t="s">
        <v>73</v>
      </c>
      <c r="D590" s="58" t="s">
        <v>69</v>
      </c>
      <c r="E590" s="117" t="s">
        <v>76</v>
      </c>
      <c r="F590" s="72" t="s">
        <v>135</v>
      </c>
      <c r="G590" s="66" t="s">
        <v>135</v>
      </c>
      <c r="H590" s="66" t="s">
        <v>135</v>
      </c>
      <c r="I590" s="72" t="s">
        <v>165</v>
      </c>
      <c r="J590" s="67" t="s">
        <v>135</v>
      </c>
      <c r="K590" s="309">
        <v>200</v>
      </c>
      <c r="L590" s="68">
        <f t="shared" si="307"/>
        <v>600000</v>
      </c>
      <c r="M590" s="69">
        <f t="shared" si="307"/>
        <v>0</v>
      </c>
      <c r="N590" s="216">
        <f t="shared" si="307"/>
        <v>0</v>
      </c>
      <c r="O590" s="216">
        <f t="shared" si="307"/>
        <v>0</v>
      </c>
      <c r="P590" s="216">
        <f t="shared" si="307"/>
        <v>0</v>
      </c>
      <c r="Q590" s="215">
        <f t="shared" si="307"/>
        <v>10222000</v>
      </c>
      <c r="R590" s="216">
        <f t="shared" si="307"/>
        <v>0</v>
      </c>
      <c r="S590" s="216">
        <f t="shared" si="307"/>
        <v>952000</v>
      </c>
      <c r="T590" s="216">
        <f t="shared" si="307"/>
        <v>952000</v>
      </c>
      <c r="U590" s="217">
        <f t="shared" si="307"/>
        <v>10222000</v>
      </c>
      <c r="V590" s="216">
        <f t="shared" si="307"/>
        <v>5264000</v>
      </c>
      <c r="W590" s="215">
        <f t="shared" si="307"/>
        <v>0</v>
      </c>
      <c r="X590" s="215">
        <f t="shared" si="307"/>
        <v>0</v>
      </c>
      <c r="Y590" s="216">
        <f t="shared" si="307"/>
        <v>10222000</v>
      </c>
      <c r="Z590" s="217">
        <f t="shared" si="307"/>
        <v>5264000</v>
      </c>
      <c r="AA590" s="216">
        <f t="shared" si="307"/>
        <v>0</v>
      </c>
      <c r="AB590" s="216">
        <f t="shared" si="307"/>
        <v>5264000</v>
      </c>
    </row>
    <row r="591" spans="1:28" ht="25.5" x14ac:dyDescent="0.2">
      <c r="A591" s="212" t="s">
        <v>54</v>
      </c>
      <c r="B591" s="58" t="s">
        <v>118</v>
      </c>
      <c r="C591" s="59" t="s">
        <v>73</v>
      </c>
      <c r="D591" s="58" t="s">
        <v>69</v>
      </c>
      <c r="E591" s="117" t="s">
        <v>76</v>
      </c>
      <c r="F591" s="72" t="s">
        <v>135</v>
      </c>
      <c r="G591" s="66" t="s">
        <v>135</v>
      </c>
      <c r="H591" s="66" t="s">
        <v>135</v>
      </c>
      <c r="I591" s="72" t="s">
        <v>165</v>
      </c>
      <c r="J591" s="67" t="s">
        <v>135</v>
      </c>
      <c r="K591" s="309">
        <v>240</v>
      </c>
      <c r="L591" s="68">
        <v>600000</v>
      </c>
      <c r="M591" s="69">
        <v>0</v>
      </c>
      <c r="N591" s="216">
        <v>0</v>
      </c>
      <c r="O591" s="216">
        <v>0</v>
      </c>
      <c r="P591" s="216">
        <v>0</v>
      </c>
      <c r="Q591" s="215">
        <v>10222000</v>
      </c>
      <c r="R591" s="216">
        <v>0</v>
      </c>
      <c r="S591" s="216">
        <v>952000</v>
      </c>
      <c r="T591" s="216">
        <f>S591</f>
        <v>952000</v>
      </c>
      <c r="U591" s="217">
        <v>10222000</v>
      </c>
      <c r="V591" s="216">
        <v>5264000</v>
      </c>
      <c r="W591" s="215">
        <v>0</v>
      </c>
      <c r="X591" s="215">
        <v>0</v>
      </c>
      <c r="Y591" s="216">
        <v>10222000</v>
      </c>
      <c r="Z591" s="217">
        <v>5264000</v>
      </c>
      <c r="AA591" s="216">
        <v>0</v>
      </c>
      <c r="AB591" s="216">
        <v>5264000</v>
      </c>
    </row>
    <row r="592" spans="1:28" ht="38.25" hidden="1" x14ac:dyDescent="0.2">
      <c r="A592" s="212" t="s">
        <v>347</v>
      </c>
      <c r="B592" s="58" t="s">
        <v>118</v>
      </c>
      <c r="C592" s="59" t="s">
        <v>73</v>
      </c>
      <c r="D592" s="58" t="s">
        <v>69</v>
      </c>
      <c r="E592" s="117" t="s">
        <v>76</v>
      </c>
      <c r="F592" s="72" t="s">
        <v>135</v>
      </c>
      <c r="G592" s="66" t="s">
        <v>135</v>
      </c>
      <c r="H592" s="66" t="s">
        <v>135</v>
      </c>
      <c r="I592" s="72" t="s">
        <v>389</v>
      </c>
      <c r="J592" s="67" t="s">
        <v>135</v>
      </c>
      <c r="K592" s="309"/>
      <c r="L592" s="68">
        <f t="shared" si="307"/>
        <v>600000</v>
      </c>
      <c r="M592" s="69">
        <f t="shared" si="307"/>
        <v>0</v>
      </c>
      <c r="N592" s="216">
        <f t="shared" si="307"/>
        <v>0</v>
      </c>
      <c r="O592" s="216">
        <f t="shared" si="307"/>
        <v>0</v>
      </c>
      <c r="P592" s="216">
        <f t="shared" si="307"/>
        <v>1781620</v>
      </c>
      <c r="Q592" s="215">
        <f t="shared" si="307"/>
        <v>10222000</v>
      </c>
      <c r="R592" s="216">
        <f t="shared" si="307"/>
        <v>0</v>
      </c>
      <c r="S592" s="216">
        <f t="shared" si="307"/>
        <v>-1781620</v>
      </c>
      <c r="T592" s="216">
        <f t="shared" si="307"/>
        <v>0</v>
      </c>
      <c r="U592" s="217">
        <f t="shared" si="307"/>
        <v>0</v>
      </c>
      <c r="V592" s="216">
        <f t="shared" si="307"/>
        <v>5264000</v>
      </c>
      <c r="W592" s="215">
        <f t="shared" si="307"/>
        <v>0</v>
      </c>
      <c r="X592" s="215">
        <f t="shared" si="307"/>
        <v>0</v>
      </c>
      <c r="Y592" s="216">
        <f t="shared" si="307"/>
        <v>0</v>
      </c>
      <c r="Z592" s="217">
        <f t="shared" si="307"/>
        <v>0</v>
      </c>
      <c r="AA592" s="216">
        <f t="shared" si="307"/>
        <v>0</v>
      </c>
      <c r="AB592" s="216">
        <f t="shared" si="307"/>
        <v>0</v>
      </c>
    </row>
    <row r="593" spans="1:28" ht="25.5" hidden="1" x14ac:dyDescent="0.2">
      <c r="A593" s="212" t="s">
        <v>52</v>
      </c>
      <c r="B593" s="58" t="s">
        <v>118</v>
      </c>
      <c r="C593" s="59" t="s">
        <v>73</v>
      </c>
      <c r="D593" s="58" t="s">
        <v>69</v>
      </c>
      <c r="E593" s="117" t="s">
        <v>76</v>
      </c>
      <c r="F593" s="72" t="s">
        <v>135</v>
      </c>
      <c r="G593" s="66" t="s">
        <v>135</v>
      </c>
      <c r="H593" s="66" t="s">
        <v>135</v>
      </c>
      <c r="I593" s="72" t="s">
        <v>389</v>
      </c>
      <c r="J593" s="67" t="s">
        <v>135</v>
      </c>
      <c r="K593" s="309">
        <v>200</v>
      </c>
      <c r="L593" s="68">
        <f t="shared" si="307"/>
        <v>600000</v>
      </c>
      <c r="M593" s="69">
        <f t="shared" si="307"/>
        <v>0</v>
      </c>
      <c r="N593" s="216">
        <f t="shared" si="307"/>
        <v>0</v>
      </c>
      <c r="O593" s="216">
        <f t="shared" si="307"/>
        <v>0</v>
      </c>
      <c r="P593" s="216">
        <f t="shared" si="307"/>
        <v>1781620</v>
      </c>
      <c r="Q593" s="215">
        <f t="shared" si="307"/>
        <v>10222000</v>
      </c>
      <c r="R593" s="216">
        <f t="shared" si="307"/>
        <v>0</v>
      </c>
      <c r="S593" s="216">
        <f t="shared" si="307"/>
        <v>-1781620</v>
      </c>
      <c r="T593" s="216">
        <f t="shared" si="307"/>
        <v>0</v>
      </c>
      <c r="U593" s="217">
        <f t="shared" si="307"/>
        <v>0</v>
      </c>
      <c r="V593" s="216">
        <f t="shared" si="307"/>
        <v>5264000</v>
      </c>
      <c r="W593" s="215">
        <f t="shared" si="307"/>
        <v>0</v>
      </c>
      <c r="X593" s="215">
        <f t="shared" si="307"/>
        <v>0</v>
      </c>
      <c r="Y593" s="216">
        <f t="shared" si="307"/>
        <v>0</v>
      </c>
      <c r="Z593" s="217">
        <f t="shared" si="307"/>
        <v>0</v>
      </c>
      <c r="AA593" s="216">
        <f t="shared" si="307"/>
        <v>0</v>
      </c>
      <c r="AB593" s="216">
        <f t="shared" si="307"/>
        <v>0</v>
      </c>
    </row>
    <row r="594" spans="1:28" ht="25.5" hidden="1" x14ac:dyDescent="0.2">
      <c r="A594" s="212" t="s">
        <v>54</v>
      </c>
      <c r="B594" s="58" t="s">
        <v>118</v>
      </c>
      <c r="C594" s="59" t="s">
        <v>73</v>
      </c>
      <c r="D594" s="58" t="s">
        <v>69</v>
      </c>
      <c r="E594" s="117" t="s">
        <v>76</v>
      </c>
      <c r="F594" s="72" t="s">
        <v>135</v>
      </c>
      <c r="G594" s="66" t="s">
        <v>135</v>
      </c>
      <c r="H594" s="66" t="s">
        <v>135</v>
      </c>
      <c r="I594" s="72" t="s">
        <v>389</v>
      </c>
      <c r="J594" s="67" t="s">
        <v>135</v>
      </c>
      <c r="K594" s="309">
        <v>240</v>
      </c>
      <c r="L594" s="68">
        <v>600000</v>
      </c>
      <c r="M594" s="69">
        <v>0</v>
      </c>
      <c r="N594" s="216">
        <v>0</v>
      </c>
      <c r="O594" s="216">
        <v>0</v>
      </c>
      <c r="P594" s="216">
        <v>1781620</v>
      </c>
      <c r="Q594" s="215">
        <v>10222000</v>
      </c>
      <c r="R594" s="216">
        <v>0</v>
      </c>
      <c r="S594" s="216">
        <v>-1781620</v>
      </c>
      <c r="T594" s="216">
        <f>S594+P594</f>
        <v>0</v>
      </c>
      <c r="U594" s="217">
        <v>0</v>
      </c>
      <c r="V594" s="216">
        <v>5264000</v>
      </c>
      <c r="W594" s="215">
        <v>0</v>
      </c>
      <c r="X594" s="215">
        <v>0</v>
      </c>
      <c r="Y594" s="216">
        <v>0</v>
      </c>
      <c r="Z594" s="217">
        <v>0</v>
      </c>
      <c r="AA594" s="216">
        <v>0</v>
      </c>
      <c r="AB594" s="216">
        <v>0</v>
      </c>
    </row>
    <row r="595" spans="1:28" ht="48.75" customHeight="1" x14ac:dyDescent="0.2">
      <c r="A595" s="325" t="s">
        <v>329</v>
      </c>
      <c r="B595" s="58" t="s">
        <v>118</v>
      </c>
      <c r="C595" s="59" t="s">
        <v>73</v>
      </c>
      <c r="D595" s="58" t="s">
        <v>69</v>
      </c>
      <c r="E595" s="104" t="s">
        <v>73</v>
      </c>
      <c r="F595" s="81" t="s">
        <v>135</v>
      </c>
      <c r="G595" s="66" t="s">
        <v>135</v>
      </c>
      <c r="H595" s="66" t="s">
        <v>135</v>
      </c>
      <c r="I595" s="81" t="s">
        <v>136</v>
      </c>
      <c r="J595" s="67" t="s">
        <v>135</v>
      </c>
      <c r="K595" s="309"/>
      <c r="L595" s="68">
        <f t="shared" ref="L595:P597" si="308">L596</f>
        <v>100000</v>
      </c>
      <c r="M595" s="69">
        <f t="shared" si="308"/>
        <v>0</v>
      </c>
      <c r="N595" s="216">
        <f t="shared" si="308"/>
        <v>0</v>
      </c>
      <c r="O595" s="216">
        <f t="shared" si="308"/>
        <v>0</v>
      </c>
      <c r="P595" s="216">
        <f t="shared" si="308"/>
        <v>0</v>
      </c>
      <c r="Q595" s="215">
        <f t="shared" ref="Q595:AB597" si="309">Q596</f>
        <v>453374.86</v>
      </c>
      <c r="R595" s="216">
        <f t="shared" si="309"/>
        <v>0</v>
      </c>
      <c r="S595" s="216">
        <f t="shared" si="309"/>
        <v>0</v>
      </c>
      <c r="T595" s="216">
        <f t="shared" si="309"/>
        <v>0</v>
      </c>
      <c r="U595" s="217">
        <f t="shared" si="309"/>
        <v>453374.86</v>
      </c>
      <c r="V595" s="216">
        <f t="shared" si="309"/>
        <v>206487.56</v>
      </c>
      <c r="W595" s="215">
        <f t="shared" si="309"/>
        <v>0</v>
      </c>
      <c r="X595" s="215">
        <f t="shared" si="309"/>
        <v>0</v>
      </c>
      <c r="Y595" s="216">
        <f t="shared" si="309"/>
        <v>453374.86</v>
      </c>
      <c r="Z595" s="217">
        <f t="shared" si="309"/>
        <v>206487.56</v>
      </c>
      <c r="AA595" s="216">
        <f t="shared" si="309"/>
        <v>0</v>
      </c>
      <c r="AB595" s="216">
        <f t="shared" si="309"/>
        <v>206487.56</v>
      </c>
    </row>
    <row r="596" spans="1:28" x14ac:dyDescent="0.2">
      <c r="A596" s="207" t="s">
        <v>185</v>
      </c>
      <c r="B596" s="58" t="s">
        <v>118</v>
      </c>
      <c r="C596" s="59" t="s">
        <v>73</v>
      </c>
      <c r="D596" s="58" t="s">
        <v>69</v>
      </c>
      <c r="E596" s="103" t="s">
        <v>73</v>
      </c>
      <c r="F596" s="66" t="s">
        <v>135</v>
      </c>
      <c r="G596" s="66" t="s">
        <v>135</v>
      </c>
      <c r="H596" s="66" t="s">
        <v>135</v>
      </c>
      <c r="I596" s="139">
        <v>8040</v>
      </c>
      <c r="J596" s="67" t="s">
        <v>135</v>
      </c>
      <c r="K596" s="309"/>
      <c r="L596" s="68">
        <f t="shared" si="308"/>
        <v>100000</v>
      </c>
      <c r="M596" s="69">
        <f t="shared" si="308"/>
        <v>0</v>
      </c>
      <c r="N596" s="216">
        <f t="shared" si="308"/>
        <v>0</v>
      </c>
      <c r="O596" s="216">
        <f t="shared" si="308"/>
        <v>0</v>
      </c>
      <c r="P596" s="216">
        <f t="shared" si="308"/>
        <v>0</v>
      </c>
      <c r="Q596" s="215">
        <f t="shared" si="309"/>
        <v>453374.86</v>
      </c>
      <c r="R596" s="216">
        <f t="shared" si="309"/>
        <v>0</v>
      </c>
      <c r="S596" s="216">
        <f t="shared" si="309"/>
        <v>0</v>
      </c>
      <c r="T596" s="216">
        <f t="shared" si="309"/>
        <v>0</v>
      </c>
      <c r="U596" s="217">
        <f t="shared" si="309"/>
        <v>453374.86</v>
      </c>
      <c r="V596" s="216">
        <f t="shared" si="309"/>
        <v>206487.56</v>
      </c>
      <c r="W596" s="215">
        <f t="shared" si="309"/>
        <v>0</v>
      </c>
      <c r="X596" s="215">
        <f t="shared" si="309"/>
        <v>0</v>
      </c>
      <c r="Y596" s="216">
        <f t="shared" si="309"/>
        <v>453374.86</v>
      </c>
      <c r="Z596" s="217">
        <f t="shared" si="309"/>
        <v>206487.56</v>
      </c>
      <c r="AA596" s="216">
        <f t="shared" si="309"/>
        <v>0</v>
      </c>
      <c r="AB596" s="216">
        <f t="shared" si="309"/>
        <v>206487.56</v>
      </c>
    </row>
    <row r="597" spans="1:28" ht="25.5" x14ac:dyDescent="0.2">
      <c r="A597" s="212" t="s">
        <v>52</v>
      </c>
      <c r="B597" s="58" t="s">
        <v>118</v>
      </c>
      <c r="C597" s="59" t="s">
        <v>73</v>
      </c>
      <c r="D597" s="58" t="s">
        <v>69</v>
      </c>
      <c r="E597" s="105" t="s">
        <v>73</v>
      </c>
      <c r="F597" s="70" t="s">
        <v>135</v>
      </c>
      <c r="G597" s="66" t="s">
        <v>135</v>
      </c>
      <c r="H597" s="66" t="s">
        <v>135</v>
      </c>
      <c r="I597" s="139">
        <v>8040</v>
      </c>
      <c r="J597" s="67" t="s">
        <v>135</v>
      </c>
      <c r="K597" s="372" t="s">
        <v>53</v>
      </c>
      <c r="L597" s="68">
        <f t="shared" si="308"/>
        <v>100000</v>
      </c>
      <c r="M597" s="69">
        <f t="shared" si="308"/>
        <v>0</v>
      </c>
      <c r="N597" s="216">
        <f>N598</f>
        <v>0</v>
      </c>
      <c r="O597" s="216">
        <f>O598</f>
        <v>0</v>
      </c>
      <c r="P597" s="216">
        <f>P598</f>
        <v>0</v>
      </c>
      <c r="Q597" s="215">
        <f t="shared" si="309"/>
        <v>453374.86</v>
      </c>
      <c r="R597" s="216">
        <f t="shared" si="309"/>
        <v>0</v>
      </c>
      <c r="S597" s="216">
        <f>S598</f>
        <v>0</v>
      </c>
      <c r="T597" s="216">
        <f>T598</f>
        <v>0</v>
      </c>
      <c r="U597" s="217">
        <f t="shared" si="309"/>
        <v>453374.86</v>
      </c>
      <c r="V597" s="216">
        <f t="shared" si="309"/>
        <v>206487.56</v>
      </c>
      <c r="W597" s="215">
        <f t="shared" si="309"/>
        <v>0</v>
      </c>
      <c r="X597" s="215">
        <f t="shared" si="309"/>
        <v>0</v>
      </c>
      <c r="Y597" s="216">
        <f t="shared" si="309"/>
        <v>453374.86</v>
      </c>
      <c r="Z597" s="217">
        <f t="shared" si="309"/>
        <v>206487.56</v>
      </c>
      <c r="AA597" s="216">
        <f t="shared" si="309"/>
        <v>0</v>
      </c>
      <c r="AB597" s="216">
        <f t="shared" si="309"/>
        <v>206487.56</v>
      </c>
    </row>
    <row r="598" spans="1:28" ht="25.5" x14ac:dyDescent="0.2">
      <c r="A598" s="212" t="s">
        <v>54</v>
      </c>
      <c r="B598" s="58" t="s">
        <v>118</v>
      </c>
      <c r="C598" s="59" t="s">
        <v>73</v>
      </c>
      <c r="D598" s="58" t="s">
        <v>69</v>
      </c>
      <c r="E598" s="105" t="s">
        <v>73</v>
      </c>
      <c r="F598" s="70" t="s">
        <v>135</v>
      </c>
      <c r="G598" s="66" t="s">
        <v>135</v>
      </c>
      <c r="H598" s="66" t="s">
        <v>135</v>
      </c>
      <c r="I598" s="139">
        <v>8040</v>
      </c>
      <c r="J598" s="67" t="s">
        <v>135</v>
      </c>
      <c r="K598" s="372" t="s">
        <v>55</v>
      </c>
      <c r="L598" s="68">
        <v>100000</v>
      </c>
      <c r="M598" s="69">
        <v>0</v>
      </c>
      <c r="N598" s="216">
        <v>0</v>
      </c>
      <c r="O598" s="216">
        <v>0</v>
      </c>
      <c r="P598" s="216">
        <v>0</v>
      </c>
      <c r="Q598" s="215">
        <v>453374.86</v>
      </c>
      <c r="R598" s="216">
        <v>0</v>
      </c>
      <c r="S598" s="216">
        <v>0</v>
      </c>
      <c r="T598" s="216">
        <v>0</v>
      </c>
      <c r="U598" s="217">
        <v>453374.86</v>
      </c>
      <c r="V598" s="216">
        <v>206487.56</v>
      </c>
      <c r="W598" s="215">
        <v>0</v>
      </c>
      <c r="X598" s="215">
        <v>0</v>
      </c>
      <c r="Y598" s="216">
        <v>453374.86</v>
      </c>
      <c r="Z598" s="217">
        <v>206487.56</v>
      </c>
      <c r="AA598" s="216">
        <v>0</v>
      </c>
      <c r="AB598" s="216">
        <v>206487.56</v>
      </c>
    </row>
    <row r="599" spans="1:28" ht="15" hidden="1" customHeight="1" x14ac:dyDescent="0.2">
      <c r="A599" s="400" t="s">
        <v>89</v>
      </c>
      <c r="B599" s="58" t="s">
        <v>118</v>
      </c>
      <c r="C599" s="59" t="s">
        <v>73</v>
      </c>
      <c r="D599" s="58" t="s">
        <v>76</v>
      </c>
      <c r="E599" s="105"/>
      <c r="F599" s="70"/>
      <c r="G599" s="66"/>
      <c r="H599" s="66"/>
      <c r="I599" s="139"/>
      <c r="J599" s="67"/>
      <c r="K599" s="372"/>
      <c r="L599" s="68">
        <f t="shared" ref="L599:AB599" si="310">L600</f>
        <v>0</v>
      </c>
      <c r="M599" s="69">
        <f t="shared" si="310"/>
        <v>0</v>
      </c>
      <c r="N599" s="216">
        <f t="shared" si="310"/>
        <v>0</v>
      </c>
      <c r="O599" s="216">
        <f t="shared" si="310"/>
        <v>0</v>
      </c>
      <c r="P599" s="216">
        <f t="shared" si="310"/>
        <v>0</v>
      </c>
      <c r="Q599" s="215">
        <f t="shared" si="310"/>
        <v>0</v>
      </c>
      <c r="R599" s="216">
        <f t="shared" si="310"/>
        <v>0</v>
      </c>
      <c r="S599" s="216">
        <f t="shared" si="310"/>
        <v>0</v>
      </c>
      <c r="T599" s="216">
        <f t="shared" si="310"/>
        <v>0</v>
      </c>
      <c r="U599" s="217">
        <f t="shared" si="310"/>
        <v>0</v>
      </c>
      <c r="V599" s="216">
        <f t="shared" si="310"/>
        <v>0</v>
      </c>
      <c r="W599" s="215">
        <f t="shared" si="310"/>
        <v>0</v>
      </c>
      <c r="X599" s="215">
        <f t="shared" si="310"/>
        <v>0</v>
      </c>
      <c r="Y599" s="216">
        <f t="shared" si="310"/>
        <v>0</v>
      </c>
      <c r="Z599" s="217">
        <f t="shared" si="310"/>
        <v>0</v>
      </c>
      <c r="AA599" s="216">
        <f t="shared" si="310"/>
        <v>0</v>
      </c>
      <c r="AB599" s="216">
        <f t="shared" si="310"/>
        <v>0</v>
      </c>
    </row>
    <row r="600" spans="1:28" ht="38.25" hidden="1" customHeight="1" x14ac:dyDescent="0.2">
      <c r="A600" s="325" t="s">
        <v>227</v>
      </c>
      <c r="B600" s="58" t="s">
        <v>118</v>
      </c>
      <c r="C600" s="59" t="s">
        <v>73</v>
      </c>
      <c r="D600" s="58" t="s">
        <v>76</v>
      </c>
      <c r="E600" s="104" t="s">
        <v>73</v>
      </c>
      <c r="F600" s="81" t="s">
        <v>135</v>
      </c>
      <c r="G600" s="66" t="s">
        <v>135</v>
      </c>
      <c r="H600" s="66" t="s">
        <v>135</v>
      </c>
      <c r="I600" s="81" t="s">
        <v>136</v>
      </c>
      <c r="J600" s="67" t="s">
        <v>135</v>
      </c>
      <c r="K600" s="309"/>
      <c r="L600" s="68">
        <f t="shared" ref="L600:Z600" si="311">L604+L601</f>
        <v>0</v>
      </c>
      <c r="M600" s="69">
        <f t="shared" si="311"/>
        <v>0</v>
      </c>
      <c r="N600" s="216">
        <f t="shared" si="311"/>
        <v>0</v>
      </c>
      <c r="O600" s="216">
        <f t="shared" si="311"/>
        <v>0</v>
      </c>
      <c r="P600" s="216">
        <f t="shared" si="311"/>
        <v>0</v>
      </c>
      <c r="Q600" s="215">
        <f t="shared" si="311"/>
        <v>0</v>
      </c>
      <c r="R600" s="216">
        <f t="shared" si="311"/>
        <v>0</v>
      </c>
      <c r="S600" s="216">
        <f>S604+S601</f>
        <v>0</v>
      </c>
      <c r="T600" s="216">
        <f>T604+T601</f>
        <v>0</v>
      </c>
      <c r="U600" s="217">
        <f t="shared" si="311"/>
        <v>0</v>
      </c>
      <c r="V600" s="216">
        <f t="shared" si="311"/>
        <v>0</v>
      </c>
      <c r="W600" s="215">
        <f t="shared" si="311"/>
        <v>0</v>
      </c>
      <c r="X600" s="215">
        <f>X604+X601</f>
        <v>0</v>
      </c>
      <c r="Y600" s="216">
        <f>Y604+Y601</f>
        <v>0</v>
      </c>
      <c r="Z600" s="217">
        <f t="shared" si="311"/>
        <v>0</v>
      </c>
      <c r="AA600" s="216">
        <f>AA604+AA601</f>
        <v>0</v>
      </c>
      <c r="AB600" s="216">
        <f>AB604+AB601</f>
        <v>0</v>
      </c>
    </row>
    <row r="601" spans="1:28" ht="28.5" hidden="1" customHeight="1" x14ac:dyDescent="0.2">
      <c r="A601" s="277" t="s">
        <v>176</v>
      </c>
      <c r="B601" s="58" t="s">
        <v>118</v>
      </c>
      <c r="C601" s="59" t="s">
        <v>73</v>
      </c>
      <c r="D601" s="58" t="s">
        <v>76</v>
      </c>
      <c r="E601" s="103" t="s">
        <v>73</v>
      </c>
      <c r="F601" s="66" t="s">
        <v>135</v>
      </c>
      <c r="G601" s="66" t="s">
        <v>135</v>
      </c>
      <c r="H601" s="66" t="s">
        <v>135</v>
      </c>
      <c r="I601" s="139">
        <v>8006</v>
      </c>
      <c r="J601" s="67" t="s">
        <v>135</v>
      </c>
      <c r="K601" s="309"/>
      <c r="L601" s="68">
        <f t="shared" ref="L601:AB602" si="312">L602</f>
        <v>0</v>
      </c>
      <c r="M601" s="69">
        <f t="shared" si="312"/>
        <v>0</v>
      </c>
      <c r="N601" s="216">
        <f t="shared" si="312"/>
        <v>0</v>
      </c>
      <c r="O601" s="216">
        <f t="shared" si="312"/>
        <v>0</v>
      </c>
      <c r="P601" s="216">
        <f t="shared" si="312"/>
        <v>0</v>
      </c>
      <c r="Q601" s="215">
        <f t="shared" si="312"/>
        <v>0</v>
      </c>
      <c r="R601" s="216">
        <f t="shared" si="312"/>
        <v>0</v>
      </c>
      <c r="S601" s="216">
        <f t="shared" si="312"/>
        <v>0</v>
      </c>
      <c r="T601" s="216">
        <f t="shared" si="312"/>
        <v>0</v>
      </c>
      <c r="U601" s="217">
        <f t="shared" si="312"/>
        <v>0</v>
      </c>
      <c r="V601" s="216">
        <f t="shared" si="312"/>
        <v>0</v>
      </c>
      <c r="W601" s="215">
        <f t="shared" si="312"/>
        <v>0</v>
      </c>
      <c r="X601" s="215">
        <f t="shared" si="312"/>
        <v>0</v>
      </c>
      <c r="Y601" s="216">
        <f t="shared" si="312"/>
        <v>0</v>
      </c>
      <c r="Z601" s="217">
        <f t="shared" si="312"/>
        <v>0</v>
      </c>
      <c r="AA601" s="216">
        <f t="shared" si="312"/>
        <v>0</v>
      </c>
      <c r="AB601" s="216">
        <f t="shared" si="312"/>
        <v>0</v>
      </c>
    </row>
    <row r="602" spans="1:28" ht="31.5" hidden="1" customHeight="1" x14ac:dyDescent="0.2">
      <c r="A602" s="207" t="s">
        <v>187</v>
      </c>
      <c r="B602" s="58" t="s">
        <v>118</v>
      </c>
      <c r="C602" s="59" t="s">
        <v>73</v>
      </c>
      <c r="D602" s="58" t="s">
        <v>76</v>
      </c>
      <c r="E602" s="105" t="s">
        <v>73</v>
      </c>
      <c r="F602" s="70" t="s">
        <v>135</v>
      </c>
      <c r="G602" s="66" t="s">
        <v>135</v>
      </c>
      <c r="H602" s="66" t="s">
        <v>135</v>
      </c>
      <c r="I602" s="139">
        <v>8006</v>
      </c>
      <c r="J602" s="67" t="s">
        <v>135</v>
      </c>
      <c r="K602" s="372" t="s">
        <v>160</v>
      </c>
      <c r="L602" s="68">
        <f t="shared" si="312"/>
        <v>0</v>
      </c>
      <c r="M602" s="69">
        <f t="shared" si="312"/>
        <v>0</v>
      </c>
      <c r="N602" s="216">
        <f t="shared" si="312"/>
        <v>0</v>
      </c>
      <c r="O602" s="216">
        <f t="shared" si="312"/>
        <v>0</v>
      </c>
      <c r="P602" s="216">
        <f t="shared" si="312"/>
        <v>0</v>
      </c>
      <c r="Q602" s="215">
        <f t="shared" si="312"/>
        <v>0</v>
      </c>
      <c r="R602" s="216">
        <f t="shared" si="312"/>
        <v>0</v>
      </c>
      <c r="S602" s="216">
        <f t="shared" si="312"/>
        <v>0</v>
      </c>
      <c r="T602" s="216">
        <f t="shared" si="312"/>
        <v>0</v>
      </c>
      <c r="U602" s="217">
        <f t="shared" si="312"/>
        <v>0</v>
      </c>
      <c r="V602" s="216">
        <f t="shared" si="312"/>
        <v>0</v>
      </c>
      <c r="W602" s="215">
        <f t="shared" si="312"/>
        <v>0</v>
      </c>
      <c r="X602" s="215">
        <f t="shared" si="312"/>
        <v>0</v>
      </c>
      <c r="Y602" s="216">
        <f t="shared" si="312"/>
        <v>0</v>
      </c>
      <c r="Z602" s="217">
        <f t="shared" si="312"/>
        <v>0</v>
      </c>
      <c r="AA602" s="216">
        <f t="shared" si="312"/>
        <v>0</v>
      </c>
      <c r="AB602" s="216">
        <f t="shared" si="312"/>
        <v>0</v>
      </c>
    </row>
    <row r="603" spans="1:28" ht="19.5" hidden="1" customHeight="1" x14ac:dyDescent="0.2">
      <c r="A603" s="212" t="s">
        <v>162</v>
      </c>
      <c r="B603" s="58" t="s">
        <v>118</v>
      </c>
      <c r="C603" s="59" t="s">
        <v>73</v>
      </c>
      <c r="D603" s="58" t="s">
        <v>76</v>
      </c>
      <c r="E603" s="105" t="s">
        <v>73</v>
      </c>
      <c r="F603" s="70" t="s">
        <v>135</v>
      </c>
      <c r="G603" s="66" t="s">
        <v>135</v>
      </c>
      <c r="H603" s="66" t="s">
        <v>135</v>
      </c>
      <c r="I603" s="139">
        <v>8006</v>
      </c>
      <c r="J603" s="67" t="s">
        <v>135</v>
      </c>
      <c r="K603" s="372" t="s">
        <v>161</v>
      </c>
      <c r="L603" s="68">
        <v>0</v>
      </c>
      <c r="M603" s="69">
        <v>0</v>
      </c>
      <c r="N603" s="216">
        <v>0</v>
      </c>
      <c r="O603" s="216">
        <v>0</v>
      </c>
      <c r="P603" s="216">
        <v>0</v>
      </c>
      <c r="Q603" s="215">
        <v>0</v>
      </c>
      <c r="R603" s="216">
        <v>0</v>
      </c>
      <c r="S603" s="216">
        <v>0</v>
      </c>
      <c r="T603" s="216">
        <v>0</v>
      </c>
      <c r="U603" s="217">
        <v>0</v>
      </c>
      <c r="V603" s="216">
        <v>0</v>
      </c>
      <c r="W603" s="215">
        <v>0</v>
      </c>
      <c r="X603" s="215">
        <v>0</v>
      </c>
      <c r="Y603" s="216">
        <v>0</v>
      </c>
      <c r="Z603" s="217">
        <v>0</v>
      </c>
      <c r="AA603" s="216">
        <v>0</v>
      </c>
      <c r="AB603" s="216">
        <v>0</v>
      </c>
    </row>
    <row r="604" spans="1:28" ht="17.25" hidden="1" customHeight="1" x14ac:dyDescent="0.2">
      <c r="A604" s="207" t="s">
        <v>172</v>
      </c>
      <c r="B604" s="58" t="s">
        <v>118</v>
      </c>
      <c r="C604" s="59" t="s">
        <v>73</v>
      </c>
      <c r="D604" s="58" t="s">
        <v>76</v>
      </c>
      <c r="E604" s="103" t="s">
        <v>73</v>
      </c>
      <c r="F604" s="66" t="s">
        <v>135</v>
      </c>
      <c r="G604" s="66" t="s">
        <v>135</v>
      </c>
      <c r="H604" s="66" t="s">
        <v>135</v>
      </c>
      <c r="I604" s="139">
        <v>8018</v>
      </c>
      <c r="J604" s="67" t="s">
        <v>135</v>
      </c>
      <c r="K604" s="309"/>
      <c r="L604" s="68">
        <f t="shared" ref="L604:Z604" si="313">L605+L607</f>
        <v>0</v>
      </c>
      <c r="M604" s="69">
        <f t="shared" si="313"/>
        <v>0</v>
      </c>
      <c r="N604" s="216">
        <f t="shared" si="313"/>
        <v>0</v>
      </c>
      <c r="O604" s="216">
        <f t="shared" si="313"/>
        <v>0</v>
      </c>
      <c r="P604" s="216">
        <f t="shared" si="313"/>
        <v>0</v>
      </c>
      <c r="Q604" s="215">
        <f t="shared" si="313"/>
        <v>0</v>
      </c>
      <c r="R604" s="216">
        <f t="shared" si="313"/>
        <v>0</v>
      </c>
      <c r="S604" s="216">
        <f>S605+S607</f>
        <v>0</v>
      </c>
      <c r="T604" s="216">
        <f>T605+T607</f>
        <v>0</v>
      </c>
      <c r="U604" s="217">
        <f t="shared" si="313"/>
        <v>0</v>
      </c>
      <c r="V604" s="216">
        <f t="shared" si="313"/>
        <v>0</v>
      </c>
      <c r="W604" s="215">
        <f t="shared" si="313"/>
        <v>0</v>
      </c>
      <c r="X604" s="215">
        <f>X605+X607</f>
        <v>0</v>
      </c>
      <c r="Y604" s="216">
        <f>Y605+Y607</f>
        <v>0</v>
      </c>
      <c r="Z604" s="217">
        <f t="shared" si="313"/>
        <v>0</v>
      </c>
      <c r="AA604" s="216">
        <f>AA605+AA607</f>
        <v>0</v>
      </c>
      <c r="AB604" s="216">
        <f>AB605+AB607</f>
        <v>0</v>
      </c>
    </row>
    <row r="605" spans="1:28" ht="25.5" hidden="1" customHeight="1" x14ac:dyDescent="0.2">
      <c r="A605" s="212" t="s">
        <v>52</v>
      </c>
      <c r="B605" s="58" t="s">
        <v>118</v>
      </c>
      <c r="C605" s="59" t="s">
        <v>73</v>
      </c>
      <c r="D605" s="58" t="s">
        <v>76</v>
      </c>
      <c r="E605" s="105" t="s">
        <v>73</v>
      </c>
      <c r="F605" s="70" t="s">
        <v>135</v>
      </c>
      <c r="G605" s="66" t="s">
        <v>135</v>
      </c>
      <c r="H605" s="66" t="s">
        <v>135</v>
      </c>
      <c r="I605" s="139">
        <v>8018</v>
      </c>
      <c r="J605" s="67" t="s">
        <v>135</v>
      </c>
      <c r="K605" s="372" t="s">
        <v>53</v>
      </c>
      <c r="L605" s="68">
        <f t="shared" ref="L605:AB605" si="314">L606</f>
        <v>0</v>
      </c>
      <c r="M605" s="69">
        <f t="shared" si="314"/>
        <v>0</v>
      </c>
      <c r="N605" s="216">
        <f t="shared" si="314"/>
        <v>0</v>
      </c>
      <c r="O605" s="216">
        <f t="shared" si="314"/>
        <v>0</v>
      </c>
      <c r="P605" s="216">
        <f t="shared" si="314"/>
        <v>0</v>
      </c>
      <c r="Q605" s="215">
        <f t="shared" si="314"/>
        <v>0</v>
      </c>
      <c r="R605" s="216">
        <f t="shared" si="314"/>
        <v>0</v>
      </c>
      <c r="S605" s="216">
        <f t="shared" si="314"/>
        <v>0</v>
      </c>
      <c r="T605" s="216">
        <f t="shared" si="314"/>
        <v>0</v>
      </c>
      <c r="U605" s="217">
        <f t="shared" si="314"/>
        <v>0</v>
      </c>
      <c r="V605" s="216">
        <f t="shared" si="314"/>
        <v>0</v>
      </c>
      <c r="W605" s="215">
        <f t="shared" si="314"/>
        <v>0</v>
      </c>
      <c r="X605" s="215">
        <f t="shared" si="314"/>
        <v>0</v>
      </c>
      <c r="Y605" s="216">
        <f t="shared" si="314"/>
        <v>0</v>
      </c>
      <c r="Z605" s="217">
        <f t="shared" si="314"/>
        <v>0</v>
      </c>
      <c r="AA605" s="216">
        <f t="shared" si="314"/>
        <v>0</v>
      </c>
      <c r="AB605" s="216">
        <f t="shared" si="314"/>
        <v>0</v>
      </c>
    </row>
    <row r="606" spans="1:28" ht="35.25" hidden="1" customHeight="1" x14ac:dyDescent="0.2">
      <c r="A606" s="212" t="s">
        <v>54</v>
      </c>
      <c r="B606" s="58" t="s">
        <v>118</v>
      </c>
      <c r="C606" s="59" t="s">
        <v>73</v>
      </c>
      <c r="D606" s="58" t="s">
        <v>76</v>
      </c>
      <c r="E606" s="105" t="s">
        <v>73</v>
      </c>
      <c r="F606" s="70" t="s">
        <v>135</v>
      </c>
      <c r="G606" s="66" t="s">
        <v>135</v>
      </c>
      <c r="H606" s="66" t="s">
        <v>135</v>
      </c>
      <c r="I606" s="139">
        <v>8018</v>
      </c>
      <c r="J606" s="67" t="s">
        <v>135</v>
      </c>
      <c r="K606" s="372" t="s">
        <v>55</v>
      </c>
      <c r="L606" s="68">
        <v>0</v>
      </c>
      <c r="M606" s="69">
        <v>0</v>
      </c>
      <c r="N606" s="216">
        <v>0</v>
      </c>
      <c r="O606" s="216">
        <v>0</v>
      </c>
      <c r="P606" s="216">
        <v>0</v>
      </c>
      <c r="Q606" s="215">
        <v>0</v>
      </c>
      <c r="R606" s="216">
        <v>0</v>
      </c>
      <c r="S606" s="216">
        <v>0</v>
      </c>
      <c r="T606" s="216">
        <v>0</v>
      </c>
      <c r="U606" s="217">
        <v>0</v>
      </c>
      <c r="V606" s="216">
        <v>0</v>
      </c>
      <c r="W606" s="215">
        <v>0</v>
      </c>
      <c r="X606" s="215">
        <v>0</v>
      </c>
      <c r="Y606" s="216">
        <v>0</v>
      </c>
      <c r="Z606" s="217">
        <v>0</v>
      </c>
      <c r="AA606" s="216">
        <v>0</v>
      </c>
      <c r="AB606" s="216">
        <v>0</v>
      </c>
    </row>
    <row r="607" spans="1:28" ht="15" hidden="1" customHeight="1" x14ac:dyDescent="0.2">
      <c r="A607" s="212" t="s">
        <v>62</v>
      </c>
      <c r="B607" s="58" t="s">
        <v>118</v>
      </c>
      <c r="C607" s="59" t="s">
        <v>73</v>
      </c>
      <c r="D607" s="58" t="s">
        <v>76</v>
      </c>
      <c r="E607" s="105" t="s">
        <v>73</v>
      </c>
      <c r="F607" s="70" t="s">
        <v>135</v>
      </c>
      <c r="G607" s="66" t="s">
        <v>135</v>
      </c>
      <c r="H607" s="66" t="s">
        <v>135</v>
      </c>
      <c r="I607" s="139">
        <v>8018</v>
      </c>
      <c r="J607" s="67" t="s">
        <v>135</v>
      </c>
      <c r="K607" s="372" t="s">
        <v>63</v>
      </c>
      <c r="L607" s="68">
        <f t="shared" ref="L607:AB607" si="315">L608</f>
        <v>0</v>
      </c>
      <c r="M607" s="69">
        <f t="shared" si="315"/>
        <v>0</v>
      </c>
      <c r="N607" s="216">
        <f t="shared" si="315"/>
        <v>0</v>
      </c>
      <c r="O607" s="216">
        <f t="shared" si="315"/>
        <v>0</v>
      </c>
      <c r="P607" s="216">
        <f t="shared" si="315"/>
        <v>0</v>
      </c>
      <c r="Q607" s="215">
        <f t="shared" si="315"/>
        <v>0</v>
      </c>
      <c r="R607" s="216">
        <f t="shared" si="315"/>
        <v>0</v>
      </c>
      <c r="S607" s="216">
        <f t="shared" si="315"/>
        <v>0</v>
      </c>
      <c r="T607" s="216">
        <f t="shared" si="315"/>
        <v>0</v>
      </c>
      <c r="U607" s="217">
        <f t="shared" si="315"/>
        <v>0</v>
      </c>
      <c r="V607" s="216">
        <f t="shared" si="315"/>
        <v>0</v>
      </c>
      <c r="W607" s="215">
        <f t="shared" si="315"/>
        <v>0</v>
      </c>
      <c r="X607" s="215">
        <f t="shared" si="315"/>
        <v>0</v>
      </c>
      <c r="Y607" s="216">
        <f t="shared" si="315"/>
        <v>0</v>
      </c>
      <c r="Z607" s="217">
        <f t="shared" si="315"/>
        <v>0</v>
      </c>
      <c r="AA607" s="216">
        <f t="shared" si="315"/>
        <v>0</v>
      </c>
      <c r="AB607" s="216">
        <f t="shared" si="315"/>
        <v>0</v>
      </c>
    </row>
    <row r="608" spans="1:28" ht="48.75" hidden="1" customHeight="1" x14ac:dyDescent="0.2">
      <c r="A608" s="212" t="s">
        <v>183</v>
      </c>
      <c r="B608" s="58" t="s">
        <v>118</v>
      </c>
      <c r="C608" s="59" t="s">
        <v>73</v>
      </c>
      <c r="D608" s="58" t="s">
        <v>76</v>
      </c>
      <c r="E608" s="105" t="s">
        <v>73</v>
      </c>
      <c r="F608" s="70" t="s">
        <v>135</v>
      </c>
      <c r="G608" s="66" t="s">
        <v>135</v>
      </c>
      <c r="H608" s="66" t="s">
        <v>135</v>
      </c>
      <c r="I608" s="139">
        <v>8018</v>
      </c>
      <c r="J608" s="67" t="s">
        <v>135</v>
      </c>
      <c r="K608" s="372" t="s">
        <v>140</v>
      </c>
      <c r="L608" s="68">
        <v>0</v>
      </c>
      <c r="M608" s="69">
        <v>0</v>
      </c>
      <c r="N608" s="216">
        <v>0</v>
      </c>
      <c r="O608" s="216">
        <v>0</v>
      </c>
      <c r="P608" s="216">
        <v>0</v>
      </c>
      <c r="Q608" s="215">
        <v>0</v>
      </c>
      <c r="R608" s="216">
        <v>0</v>
      </c>
      <c r="S608" s="216">
        <v>0</v>
      </c>
      <c r="T608" s="216">
        <v>0</v>
      </c>
      <c r="U608" s="217">
        <v>0</v>
      </c>
      <c r="V608" s="216">
        <v>0</v>
      </c>
      <c r="W608" s="215">
        <v>0</v>
      </c>
      <c r="X608" s="215">
        <v>0</v>
      </c>
      <c r="Y608" s="216">
        <v>0</v>
      </c>
      <c r="Z608" s="217">
        <v>0</v>
      </c>
      <c r="AA608" s="216">
        <v>0</v>
      </c>
      <c r="AB608" s="216">
        <v>0</v>
      </c>
    </row>
    <row r="609" spans="1:28" ht="22.5" hidden="1" customHeight="1" x14ac:dyDescent="0.2">
      <c r="A609" s="400" t="s">
        <v>89</v>
      </c>
      <c r="B609" s="58" t="s">
        <v>118</v>
      </c>
      <c r="C609" s="59" t="s">
        <v>73</v>
      </c>
      <c r="D609" s="58" t="s">
        <v>76</v>
      </c>
      <c r="E609" s="105"/>
      <c r="F609" s="70"/>
      <c r="G609" s="66"/>
      <c r="H609" s="66"/>
      <c r="I609" s="139"/>
      <c r="J609" s="67"/>
      <c r="K609" s="372"/>
      <c r="L609" s="68"/>
      <c r="M609" s="69"/>
      <c r="N609" s="216">
        <f t="shared" ref="N609:AB612" si="316">N610</f>
        <v>0</v>
      </c>
      <c r="O609" s="216">
        <f t="shared" si="316"/>
        <v>0</v>
      </c>
      <c r="P609" s="216">
        <f t="shared" si="316"/>
        <v>0</v>
      </c>
      <c r="Q609" s="215">
        <f t="shared" si="316"/>
        <v>0</v>
      </c>
      <c r="R609" s="216">
        <f t="shared" si="316"/>
        <v>0</v>
      </c>
      <c r="S609" s="216">
        <f t="shared" si="316"/>
        <v>0</v>
      </c>
      <c r="T609" s="216">
        <f t="shared" si="316"/>
        <v>0</v>
      </c>
      <c r="U609" s="217">
        <f t="shared" si="316"/>
        <v>0</v>
      </c>
      <c r="V609" s="216">
        <f t="shared" si="316"/>
        <v>0</v>
      </c>
      <c r="W609" s="215">
        <f t="shared" si="316"/>
        <v>0</v>
      </c>
      <c r="X609" s="215">
        <f t="shared" si="316"/>
        <v>0</v>
      </c>
      <c r="Y609" s="216">
        <f t="shared" si="316"/>
        <v>0</v>
      </c>
      <c r="Z609" s="217">
        <f t="shared" si="316"/>
        <v>0</v>
      </c>
      <c r="AA609" s="216">
        <f t="shared" si="316"/>
        <v>0</v>
      </c>
      <c r="AB609" s="216">
        <f t="shared" si="316"/>
        <v>0</v>
      </c>
    </row>
    <row r="610" spans="1:28" ht="45.75" hidden="1" customHeight="1" x14ac:dyDescent="0.2">
      <c r="A610" s="325" t="s">
        <v>247</v>
      </c>
      <c r="B610" s="58" t="s">
        <v>118</v>
      </c>
      <c r="C610" s="59" t="s">
        <v>73</v>
      </c>
      <c r="D610" s="58" t="s">
        <v>76</v>
      </c>
      <c r="E610" s="104" t="s">
        <v>73</v>
      </c>
      <c r="F610" s="81" t="s">
        <v>135</v>
      </c>
      <c r="G610" s="66" t="s">
        <v>135</v>
      </c>
      <c r="H610" s="66" t="s">
        <v>135</v>
      </c>
      <c r="I610" s="81" t="s">
        <v>136</v>
      </c>
      <c r="J610" s="67" t="s">
        <v>135</v>
      </c>
      <c r="K610" s="309"/>
      <c r="L610" s="68"/>
      <c r="M610" s="69"/>
      <c r="N610" s="216">
        <f t="shared" si="316"/>
        <v>0</v>
      </c>
      <c r="O610" s="216">
        <f t="shared" si="316"/>
        <v>0</v>
      </c>
      <c r="P610" s="216">
        <f t="shared" si="316"/>
        <v>0</v>
      </c>
      <c r="Q610" s="215">
        <f t="shared" si="316"/>
        <v>0</v>
      </c>
      <c r="R610" s="216">
        <f t="shared" si="316"/>
        <v>0</v>
      </c>
      <c r="S610" s="216">
        <f t="shared" si="316"/>
        <v>0</v>
      </c>
      <c r="T610" s="216">
        <f t="shared" si="316"/>
        <v>0</v>
      </c>
      <c r="U610" s="217">
        <f t="shared" si="316"/>
        <v>0</v>
      </c>
      <c r="V610" s="216">
        <f t="shared" si="316"/>
        <v>0</v>
      </c>
      <c r="W610" s="215">
        <f t="shared" si="316"/>
        <v>0</v>
      </c>
      <c r="X610" s="215">
        <f t="shared" si="316"/>
        <v>0</v>
      </c>
      <c r="Y610" s="216">
        <f t="shared" si="316"/>
        <v>0</v>
      </c>
      <c r="Z610" s="217">
        <f t="shared" si="316"/>
        <v>0</v>
      </c>
      <c r="AA610" s="216">
        <f t="shared" si="316"/>
        <v>0</v>
      </c>
      <c r="AB610" s="216">
        <f t="shared" si="316"/>
        <v>0</v>
      </c>
    </row>
    <row r="611" spans="1:28" ht="22.5" hidden="1" customHeight="1" x14ac:dyDescent="0.2">
      <c r="A611" s="207" t="s">
        <v>172</v>
      </c>
      <c r="B611" s="58" t="s">
        <v>118</v>
      </c>
      <c r="C611" s="59" t="s">
        <v>73</v>
      </c>
      <c r="D611" s="58" t="s">
        <v>76</v>
      </c>
      <c r="E611" s="103" t="s">
        <v>73</v>
      </c>
      <c r="F611" s="66" t="s">
        <v>135</v>
      </c>
      <c r="G611" s="66" t="s">
        <v>135</v>
      </c>
      <c r="H611" s="66" t="s">
        <v>135</v>
      </c>
      <c r="I611" s="139">
        <v>8018</v>
      </c>
      <c r="J611" s="67" t="s">
        <v>135</v>
      </c>
      <c r="K611" s="309"/>
      <c r="L611" s="68"/>
      <c r="M611" s="69"/>
      <c r="N611" s="216">
        <f t="shared" si="316"/>
        <v>0</v>
      </c>
      <c r="O611" s="216">
        <f t="shared" si="316"/>
        <v>0</v>
      </c>
      <c r="P611" s="216">
        <f t="shared" si="316"/>
        <v>0</v>
      </c>
      <c r="Q611" s="215">
        <f t="shared" si="316"/>
        <v>0</v>
      </c>
      <c r="R611" s="216">
        <f t="shared" si="316"/>
        <v>0</v>
      </c>
      <c r="S611" s="216">
        <f t="shared" si="316"/>
        <v>0</v>
      </c>
      <c r="T611" s="216">
        <f t="shared" si="316"/>
        <v>0</v>
      </c>
      <c r="U611" s="217">
        <f t="shared" si="316"/>
        <v>0</v>
      </c>
      <c r="V611" s="216">
        <f t="shared" si="316"/>
        <v>0</v>
      </c>
      <c r="W611" s="215">
        <f t="shared" si="316"/>
        <v>0</v>
      </c>
      <c r="X611" s="215">
        <f t="shared" si="316"/>
        <v>0</v>
      </c>
      <c r="Y611" s="216">
        <f t="shared" si="316"/>
        <v>0</v>
      </c>
      <c r="Z611" s="217">
        <f t="shared" si="316"/>
        <v>0</v>
      </c>
      <c r="AA611" s="216">
        <f t="shared" si="316"/>
        <v>0</v>
      </c>
      <c r="AB611" s="216">
        <f t="shared" si="316"/>
        <v>0</v>
      </c>
    </row>
    <row r="612" spans="1:28" ht="22.5" hidden="1" customHeight="1" x14ac:dyDescent="0.2">
      <c r="A612" s="212" t="s">
        <v>62</v>
      </c>
      <c r="B612" s="58" t="s">
        <v>118</v>
      </c>
      <c r="C612" s="59" t="s">
        <v>73</v>
      </c>
      <c r="D612" s="58" t="s">
        <v>76</v>
      </c>
      <c r="E612" s="105" t="s">
        <v>73</v>
      </c>
      <c r="F612" s="70" t="s">
        <v>135</v>
      </c>
      <c r="G612" s="66" t="s">
        <v>135</v>
      </c>
      <c r="H612" s="66" t="s">
        <v>135</v>
      </c>
      <c r="I612" s="139">
        <v>8018</v>
      </c>
      <c r="J612" s="67" t="s">
        <v>135</v>
      </c>
      <c r="K612" s="372" t="s">
        <v>63</v>
      </c>
      <c r="L612" s="68"/>
      <c r="M612" s="69"/>
      <c r="N612" s="216">
        <f t="shared" si="316"/>
        <v>0</v>
      </c>
      <c r="O612" s="216">
        <f t="shared" si="316"/>
        <v>0</v>
      </c>
      <c r="P612" s="216">
        <f t="shared" si="316"/>
        <v>0</v>
      </c>
      <c r="Q612" s="215">
        <f t="shared" si="316"/>
        <v>0</v>
      </c>
      <c r="R612" s="216">
        <f t="shared" si="316"/>
        <v>0</v>
      </c>
      <c r="S612" s="216">
        <f t="shared" si="316"/>
        <v>0</v>
      </c>
      <c r="T612" s="216">
        <f t="shared" si="316"/>
        <v>0</v>
      </c>
      <c r="U612" s="217">
        <f t="shared" si="316"/>
        <v>0</v>
      </c>
      <c r="V612" s="216">
        <f t="shared" si="316"/>
        <v>0</v>
      </c>
      <c r="W612" s="215">
        <f t="shared" si="316"/>
        <v>0</v>
      </c>
      <c r="X612" s="215">
        <f t="shared" si="316"/>
        <v>0</v>
      </c>
      <c r="Y612" s="216">
        <f t="shared" si="316"/>
        <v>0</v>
      </c>
      <c r="Z612" s="217">
        <f t="shared" si="316"/>
        <v>0</v>
      </c>
      <c r="AA612" s="216">
        <f t="shared" si="316"/>
        <v>0</v>
      </c>
      <c r="AB612" s="216">
        <f t="shared" si="316"/>
        <v>0</v>
      </c>
    </row>
    <row r="613" spans="1:28" ht="42.75" hidden="1" customHeight="1" x14ac:dyDescent="0.2">
      <c r="A613" s="212" t="s">
        <v>183</v>
      </c>
      <c r="B613" s="58" t="s">
        <v>118</v>
      </c>
      <c r="C613" s="59" t="s">
        <v>73</v>
      </c>
      <c r="D613" s="58" t="s">
        <v>76</v>
      </c>
      <c r="E613" s="105" t="s">
        <v>73</v>
      </c>
      <c r="F613" s="70" t="s">
        <v>135</v>
      </c>
      <c r="G613" s="66" t="s">
        <v>135</v>
      </c>
      <c r="H613" s="66" t="s">
        <v>135</v>
      </c>
      <c r="I613" s="139">
        <v>8018</v>
      </c>
      <c r="J613" s="67" t="s">
        <v>135</v>
      </c>
      <c r="K613" s="372" t="s">
        <v>140</v>
      </c>
      <c r="L613" s="68"/>
      <c r="M613" s="69"/>
      <c r="N613" s="216">
        <v>0</v>
      </c>
      <c r="O613" s="216">
        <v>0</v>
      </c>
      <c r="P613" s="216">
        <v>0</v>
      </c>
      <c r="Q613" s="215">
        <v>0</v>
      </c>
      <c r="R613" s="216">
        <v>0</v>
      </c>
      <c r="S613" s="216">
        <v>0</v>
      </c>
      <c r="T613" s="216">
        <v>0</v>
      </c>
      <c r="U613" s="217">
        <v>0</v>
      </c>
      <c r="V613" s="216">
        <v>0</v>
      </c>
      <c r="W613" s="215">
        <v>0</v>
      </c>
      <c r="X613" s="215">
        <v>0</v>
      </c>
      <c r="Y613" s="216">
        <v>0</v>
      </c>
      <c r="Z613" s="217">
        <v>0</v>
      </c>
      <c r="AA613" s="216">
        <v>0</v>
      </c>
      <c r="AB613" s="216">
        <v>0</v>
      </c>
    </row>
    <row r="614" spans="1:28" ht="23.25" customHeight="1" x14ac:dyDescent="0.2">
      <c r="A614" s="400" t="s">
        <v>89</v>
      </c>
      <c r="B614" s="58" t="s">
        <v>118</v>
      </c>
      <c r="C614" s="59" t="s">
        <v>73</v>
      </c>
      <c r="D614" s="58" t="s">
        <v>76</v>
      </c>
      <c r="E614" s="105"/>
      <c r="F614" s="70"/>
      <c r="G614" s="66"/>
      <c r="H614" s="66"/>
      <c r="I614" s="139"/>
      <c r="J614" s="67"/>
      <c r="K614" s="372"/>
      <c r="L614" s="68"/>
      <c r="M614" s="69"/>
      <c r="N614" s="216">
        <f t="shared" ref="N614:O614" si="317">N619</f>
        <v>0</v>
      </c>
      <c r="O614" s="216">
        <f t="shared" si="317"/>
        <v>0</v>
      </c>
      <c r="P614" s="216">
        <f>P619+P615</f>
        <v>0</v>
      </c>
      <c r="Q614" s="216">
        <f t="shared" ref="Q614:AB614" si="318">Q619+Q615</f>
        <v>4621636</v>
      </c>
      <c r="R614" s="216">
        <f t="shared" si="318"/>
        <v>0</v>
      </c>
      <c r="S614" s="216">
        <f t="shared" si="318"/>
        <v>618200</v>
      </c>
      <c r="T614" s="216">
        <f t="shared" si="318"/>
        <v>618200</v>
      </c>
      <c r="U614" s="217">
        <f t="shared" si="318"/>
        <v>30581838.41</v>
      </c>
      <c r="V614" s="216">
        <f t="shared" si="318"/>
        <v>501636</v>
      </c>
      <c r="W614" s="216">
        <f t="shared" si="318"/>
        <v>0</v>
      </c>
      <c r="X614" s="215">
        <f t="shared" si="318"/>
        <v>34747</v>
      </c>
      <c r="Y614" s="216">
        <f t="shared" si="318"/>
        <v>30616585.41</v>
      </c>
      <c r="Z614" s="217">
        <f t="shared" si="318"/>
        <v>28521864.510000002</v>
      </c>
      <c r="AA614" s="216">
        <f t="shared" si="318"/>
        <v>34747</v>
      </c>
      <c r="AB614" s="216">
        <f t="shared" si="318"/>
        <v>28556611.510000002</v>
      </c>
    </row>
    <row r="615" spans="1:28" ht="54.75" customHeight="1" x14ac:dyDescent="0.2">
      <c r="A615" s="212" t="s">
        <v>356</v>
      </c>
      <c r="B615" s="58" t="s">
        <v>118</v>
      </c>
      <c r="C615" s="59" t="s">
        <v>73</v>
      </c>
      <c r="D615" s="58" t="s">
        <v>76</v>
      </c>
      <c r="E615" s="103" t="s">
        <v>72</v>
      </c>
      <c r="F615" s="66" t="s">
        <v>135</v>
      </c>
      <c r="G615" s="66" t="s">
        <v>135</v>
      </c>
      <c r="H615" s="66" t="s">
        <v>135</v>
      </c>
      <c r="I615" s="72" t="s">
        <v>136</v>
      </c>
      <c r="J615" s="67" t="s">
        <v>135</v>
      </c>
      <c r="K615" s="372"/>
      <c r="L615" s="68"/>
      <c r="M615" s="69"/>
      <c r="N615" s="216"/>
      <c r="O615" s="216"/>
      <c r="P615" s="216">
        <f>P616</f>
        <v>0</v>
      </c>
      <c r="Q615" s="215"/>
      <c r="R615" s="216"/>
      <c r="S615" s="216">
        <f t="shared" ref="S615:U617" si="319">S616</f>
        <v>618200</v>
      </c>
      <c r="T615" s="216">
        <f t="shared" si="319"/>
        <v>618200</v>
      </c>
      <c r="U615" s="217">
        <f t="shared" si="319"/>
        <v>0</v>
      </c>
      <c r="V615" s="215"/>
      <c r="W615" s="216"/>
      <c r="X615" s="215">
        <f t="shared" ref="X615:Z617" si="320">X616</f>
        <v>0</v>
      </c>
      <c r="Y615" s="216">
        <f t="shared" si="320"/>
        <v>0</v>
      </c>
      <c r="Z615" s="217">
        <f t="shared" si="320"/>
        <v>0</v>
      </c>
      <c r="AA615" s="216">
        <f t="shared" ref="AA615:AB617" si="321">AA616</f>
        <v>0</v>
      </c>
      <c r="AB615" s="216">
        <f t="shared" si="321"/>
        <v>0</v>
      </c>
    </row>
    <row r="616" spans="1:28" ht="65.25" customHeight="1" x14ac:dyDescent="0.2">
      <c r="A616" s="212" t="s">
        <v>358</v>
      </c>
      <c r="B616" s="58" t="s">
        <v>118</v>
      </c>
      <c r="C616" s="59" t="s">
        <v>73</v>
      </c>
      <c r="D616" s="58" t="s">
        <v>76</v>
      </c>
      <c r="E616" s="103" t="s">
        <v>72</v>
      </c>
      <c r="F616" s="66" t="s">
        <v>135</v>
      </c>
      <c r="G616" s="66" t="s">
        <v>135</v>
      </c>
      <c r="H616" s="66" t="s">
        <v>135</v>
      </c>
      <c r="I616" s="72" t="s">
        <v>357</v>
      </c>
      <c r="J616" s="67" t="s">
        <v>135</v>
      </c>
      <c r="K616" s="372"/>
      <c r="L616" s="68"/>
      <c r="M616" s="69"/>
      <c r="N616" s="216"/>
      <c r="O616" s="216"/>
      <c r="P616" s="216">
        <f>P617</f>
        <v>0</v>
      </c>
      <c r="Q616" s="215"/>
      <c r="R616" s="216"/>
      <c r="S616" s="216">
        <f t="shared" si="319"/>
        <v>618200</v>
      </c>
      <c r="T616" s="216">
        <f t="shared" si="319"/>
        <v>618200</v>
      </c>
      <c r="U616" s="217">
        <f t="shared" si="319"/>
        <v>0</v>
      </c>
      <c r="V616" s="215"/>
      <c r="W616" s="216"/>
      <c r="X616" s="215">
        <f t="shared" si="320"/>
        <v>0</v>
      </c>
      <c r="Y616" s="216">
        <f t="shared" si="320"/>
        <v>0</v>
      </c>
      <c r="Z616" s="217">
        <f t="shared" si="320"/>
        <v>0</v>
      </c>
      <c r="AA616" s="216">
        <f t="shared" si="321"/>
        <v>0</v>
      </c>
      <c r="AB616" s="216">
        <f t="shared" si="321"/>
        <v>0</v>
      </c>
    </row>
    <row r="617" spans="1:28" ht="33.75" customHeight="1" x14ac:dyDescent="0.2">
      <c r="A617" s="212" t="s">
        <v>52</v>
      </c>
      <c r="B617" s="58" t="s">
        <v>118</v>
      </c>
      <c r="C617" s="59" t="s">
        <v>73</v>
      </c>
      <c r="D617" s="58" t="s">
        <v>76</v>
      </c>
      <c r="E617" s="103" t="s">
        <v>72</v>
      </c>
      <c r="F617" s="66" t="s">
        <v>135</v>
      </c>
      <c r="G617" s="66" t="s">
        <v>135</v>
      </c>
      <c r="H617" s="66" t="s">
        <v>135</v>
      </c>
      <c r="I617" s="72" t="s">
        <v>357</v>
      </c>
      <c r="J617" s="67" t="s">
        <v>135</v>
      </c>
      <c r="K617" s="372" t="s">
        <v>53</v>
      </c>
      <c r="L617" s="68"/>
      <c r="M617" s="69"/>
      <c r="N617" s="216"/>
      <c r="O617" s="216"/>
      <c r="P617" s="216">
        <f>P618</f>
        <v>0</v>
      </c>
      <c r="Q617" s="215"/>
      <c r="R617" s="216"/>
      <c r="S617" s="216">
        <f t="shared" si="319"/>
        <v>618200</v>
      </c>
      <c r="T617" s="216">
        <f t="shared" si="319"/>
        <v>618200</v>
      </c>
      <c r="U617" s="217">
        <f t="shared" si="319"/>
        <v>0</v>
      </c>
      <c r="V617" s="215"/>
      <c r="W617" s="216"/>
      <c r="X617" s="215">
        <f t="shared" si="320"/>
        <v>0</v>
      </c>
      <c r="Y617" s="216">
        <f t="shared" si="320"/>
        <v>0</v>
      </c>
      <c r="Z617" s="217">
        <f t="shared" si="320"/>
        <v>0</v>
      </c>
      <c r="AA617" s="216">
        <f t="shared" si="321"/>
        <v>0</v>
      </c>
      <c r="AB617" s="216">
        <f t="shared" si="321"/>
        <v>0</v>
      </c>
    </row>
    <row r="618" spans="1:28" ht="23.25" customHeight="1" x14ac:dyDescent="0.2">
      <c r="A618" s="212" t="s">
        <v>54</v>
      </c>
      <c r="B618" s="58" t="s">
        <v>118</v>
      </c>
      <c r="C618" s="59" t="s">
        <v>73</v>
      </c>
      <c r="D618" s="58" t="s">
        <v>76</v>
      </c>
      <c r="E618" s="103" t="s">
        <v>72</v>
      </c>
      <c r="F618" s="66" t="s">
        <v>135</v>
      </c>
      <c r="G618" s="66" t="s">
        <v>135</v>
      </c>
      <c r="H618" s="66" t="s">
        <v>135</v>
      </c>
      <c r="I618" s="72" t="s">
        <v>357</v>
      </c>
      <c r="J618" s="67" t="s">
        <v>135</v>
      </c>
      <c r="K618" s="372" t="s">
        <v>55</v>
      </c>
      <c r="L618" s="68"/>
      <c r="M618" s="69"/>
      <c r="N618" s="216"/>
      <c r="O618" s="216"/>
      <c r="P618" s="216">
        <v>0</v>
      </c>
      <c r="Q618" s="215"/>
      <c r="R618" s="216"/>
      <c r="S618" s="216">
        <v>618200</v>
      </c>
      <c r="T618" s="216">
        <v>618200</v>
      </c>
      <c r="U618" s="217">
        <v>0</v>
      </c>
      <c r="V618" s="215"/>
      <c r="W618" s="216"/>
      <c r="X618" s="215">
        <v>0</v>
      </c>
      <c r="Y618" s="216">
        <v>0</v>
      </c>
      <c r="Z618" s="217">
        <v>0</v>
      </c>
      <c r="AA618" s="216">
        <v>0</v>
      </c>
      <c r="AB618" s="216">
        <v>0</v>
      </c>
    </row>
    <row r="619" spans="1:28" ht="42.75" customHeight="1" x14ac:dyDescent="0.2">
      <c r="A619" s="325" t="s">
        <v>329</v>
      </c>
      <c r="B619" s="58" t="s">
        <v>118</v>
      </c>
      <c r="C619" s="59" t="s">
        <v>73</v>
      </c>
      <c r="D619" s="58" t="s">
        <v>76</v>
      </c>
      <c r="E619" s="104" t="s">
        <v>73</v>
      </c>
      <c r="F619" s="81" t="s">
        <v>135</v>
      </c>
      <c r="G619" s="66" t="s">
        <v>135</v>
      </c>
      <c r="H619" s="66" t="s">
        <v>135</v>
      </c>
      <c r="I619" s="81" t="s">
        <v>136</v>
      </c>
      <c r="J619" s="67" t="s">
        <v>135</v>
      </c>
      <c r="K619" s="309"/>
      <c r="L619" s="68"/>
      <c r="M619" s="69"/>
      <c r="N619" s="216">
        <f t="shared" ref="N619:P624" si="322">N620</f>
        <v>0</v>
      </c>
      <c r="O619" s="216">
        <f t="shared" si="322"/>
        <v>0</v>
      </c>
      <c r="P619" s="216">
        <f>P620+P623</f>
        <v>0</v>
      </c>
      <c r="Q619" s="216">
        <f t="shared" ref="Q619:AB619" si="323">Q620+Q623</f>
        <v>4621636</v>
      </c>
      <c r="R619" s="216">
        <f t="shared" si="323"/>
        <v>0</v>
      </c>
      <c r="S619" s="216">
        <f t="shared" si="323"/>
        <v>0</v>
      </c>
      <c r="T619" s="216">
        <f t="shared" si="323"/>
        <v>0</v>
      </c>
      <c r="U619" s="217">
        <f t="shared" si="323"/>
        <v>30581838.41</v>
      </c>
      <c r="V619" s="216">
        <f t="shared" si="323"/>
        <v>501636</v>
      </c>
      <c r="W619" s="216">
        <f t="shared" si="323"/>
        <v>0</v>
      </c>
      <c r="X619" s="215">
        <f t="shared" si="323"/>
        <v>34747</v>
      </c>
      <c r="Y619" s="216">
        <f t="shared" si="323"/>
        <v>30616585.41</v>
      </c>
      <c r="Z619" s="217">
        <f t="shared" si="323"/>
        <v>28521864.510000002</v>
      </c>
      <c r="AA619" s="216">
        <f t="shared" si="323"/>
        <v>34747</v>
      </c>
      <c r="AB619" s="216">
        <f t="shared" si="323"/>
        <v>28556611.510000002</v>
      </c>
    </row>
    <row r="620" spans="1:28" ht="18.75" customHeight="1" x14ac:dyDescent="0.2">
      <c r="A620" s="207" t="s">
        <v>172</v>
      </c>
      <c r="B620" s="58" t="s">
        <v>118</v>
      </c>
      <c r="C620" s="59" t="s">
        <v>73</v>
      </c>
      <c r="D620" s="58" t="s">
        <v>76</v>
      </c>
      <c r="E620" s="103" t="s">
        <v>73</v>
      </c>
      <c r="F620" s="66" t="s">
        <v>135</v>
      </c>
      <c r="G620" s="66" t="s">
        <v>135</v>
      </c>
      <c r="H620" s="66" t="s">
        <v>135</v>
      </c>
      <c r="I620" s="139">
        <v>8018</v>
      </c>
      <c r="J620" s="67" t="s">
        <v>135</v>
      </c>
      <c r="K620" s="309"/>
      <c r="L620" s="68"/>
      <c r="M620" s="69"/>
      <c r="N620" s="216">
        <f t="shared" si="322"/>
        <v>0</v>
      </c>
      <c r="O620" s="216">
        <f t="shared" si="322"/>
        <v>0</v>
      </c>
      <c r="P620" s="216">
        <f t="shared" si="322"/>
        <v>0</v>
      </c>
      <c r="Q620" s="215">
        <f t="shared" ref="Q620:AB624" si="324">Q621</f>
        <v>2310818</v>
      </c>
      <c r="R620" s="216">
        <f t="shared" si="324"/>
        <v>0</v>
      </c>
      <c r="S620" s="216">
        <f t="shared" si="324"/>
        <v>0</v>
      </c>
      <c r="T620" s="216">
        <f t="shared" si="324"/>
        <v>0</v>
      </c>
      <c r="U620" s="217">
        <f t="shared" si="324"/>
        <v>2310818</v>
      </c>
      <c r="V620" s="216">
        <f t="shared" si="324"/>
        <v>250818</v>
      </c>
      <c r="W620" s="215">
        <f t="shared" si="324"/>
        <v>0</v>
      </c>
      <c r="X620" s="215">
        <f t="shared" si="324"/>
        <v>-250818</v>
      </c>
      <c r="Y620" s="216">
        <f t="shared" si="324"/>
        <v>2060000</v>
      </c>
      <c r="Z620" s="217">
        <f t="shared" si="324"/>
        <v>250818</v>
      </c>
      <c r="AA620" s="216">
        <f t="shared" si="324"/>
        <v>-250818</v>
      </c>
      <c r="AB620" s="216">
        <f t="shared" si="324"/>
        <v>0</v>
      </c>
    </row>
    <row r="621" spans="1:28" ht="28.5" customHeight="1" x14ac:dyDescent="0.2">
      <c r="A621" s="212" t="s">
        <v>52</v>
      </c>
      <c r="B621" s="58" t="s">
        <v>118</v>
      </c>
      <c r="C621" s="59" t="s">
        <v>73</v>
      </c>
      <c r="D621" s="58" t="s">
        <v>76</v>
      </c>
      <c r="E621" s="105" t="s">
        <v>73</v>
      </c>
      <c r="F621" s="70" t="s">
        <v>135</v>
      </c>
      <c r="G621" s="66" t="s">
        <v>135</v>
      </c>
      <c r="H621" s="66" t="s">
        <v>135</v>
      </c>
      <c r="I621" s="139">
        <v>8018</v>
      </c>
      <c r="J621" s="67" t="s">
        <v>135</v>
      </c>
      <c r="K621" s="372" t="s">
        <v>53</v>
      </c>
      <c r="L621" s="68"/>
      <c r="M621" s="69"/>
      <c r="N621" s="216">
        <f t="shared" si="322"/>
        <v>0</v>
      </c>
      <c r="O621" s="216">
        <f t="shared" si="322"/>
        <v>0</v>
      </c>
      <c r="P621" s="216">
        <f t="shared" si="322"/>
        <v>0</v>
      </c>
      <c r="Q621" s="215">
        <f t="shared" ref="Q621:AB621" si="325">Q622</f>
        <v>2310818</v>
      </c>
      <c r="R621" s="216">
        <f t="shared" si="325"/>
        <v>0</v>
      </c>
      <c r="S621" s="216">
        <f t="shared" si="324"/>
        <v>0</v>
      </c>
      <c r="T621" s="216">
        <f t="shared" si="324"/>
        <v>0</v>
      </c>
      <c r="U621" s="217">
        <f t="shared" si="325"/>
        <v>2310818</v>
      </c>
      <c r="V621" s="216">
        <f t="shared" si="325"/>
        <v>250818</v>
      </c>
      <c r="W621" s="215">
        <f t="shared" si="325"/>
        <v>0</v>
      </c>
      <c r="X621" s="215">
        <f t="shared" si="325"/>
        <v>-250818</v>
      </c>
      <c r="Y621" s="216">
        <f t="shared" si="325"/>
        <v>2060000</v>
      </c>
      <c r="Z621" s="217">
        <f t="shared" si="325"/>
        <v>250818</v>
      </c>
      <c r="AA621" s="216">
        <f t="shared" si="325"/>
        <v>-250818</v>
      </c>
      <c r="AB621" s="216">
        <f t="shared" si="325"/>
        <v>0</v>
      </c>
    </row>
    <row r="622" spans="1:28" ht="42.75" customHeight="1" x14ac:dyDescent="0.2">
      <c r="A622" s="212" t="s">
        <v>54</v>
      </c>
      <c r="B622" s="58" t="s">
        <v>118</v>
      </c>
      <c r="C622" s="59" t="s">
        <v>73</v>
      </c>
      <c r="D622" s="58" t="s">
        <v>76</v>
      </c>
      <c r="E622" s="105" t="s">
        <v>73</v>
      </c>
      <c r="F622" s="70" t="s">
        <v>135</v>
      </c>
      <c r="G622" s="66" t="s">
        <v>135</v>
      </c>
      <c r="H622" s="66" t="s">
        <v>135</v>
      </c>
      <c r="I622" s="139">
        <v>8018</v>
      </c>
      <c r="J622" s="67" t="s">
        <v>135</v>
      </c>
      <c r="K622" s="372" t="s">
        <v>55</v>
      </c>
      <c r="L622" s="68"/>
      <c r="M622" s="69"/>
      <c r="N622" s="216">
        <v>0</v>
      </c>
      <c r="O622" s="216">
        <v>0</v>
      </c>
      <c r="P622" s="216">
        <v>0</v>
      </c>
      <c r="Q622" s="215">
        <f>550000+1350000+410818</f>
        <v>2310818</v>
      </c>
      <c r="R622" s="216">
        <v>0</v>
      </c>
      <c r="S622" s="216">
        <v>0</v>
      </c>
      <c r="T622" s="216">
        <v>0</v>
      </c>
      <c r="U622" s="217">
        <f>550000+1350000+410818</f>
        <v>2310818</v>
      </c>
      <c r="V622" s="216">
        <v>250818</v>
      </c>
      <c r="W622" s="215">
        <v>0</v>
      </c>
      <c r="X622" s="215">
        <v>-250818</v>
      </c>
      <c r="Y622" s="216">
        <f>X622+U622</f>
        <v>2060000</v>
      </c>
      <c r="Z622" s="217">
        <v>250818</v>
      </c>
      <c r="AA622" s="216">
        <v>-250818</v>
      </c>
      <c r="AB622" s="216">
        <f>AA622+Z622</f>
        <v>0</v>
      </c>
    </row>
    <row r="623" spans="1:28" ht="42.75" customHeight="1" x14ac:dyDescent="0.2">
      <c r="A623" s="207" t="s">
        <v>409</v>
      </c>
      <c r="B623" s="58" t="s">
        <v>118</v>
      </c>
      <c r="C623" s="59" t="s">
        <v>73</v>
      </c>
      <c r="D623" s="58" t="s">
        <v>76</v>
      </c>
      <c r="E623" s="103" t="s">
        <v>73</v>
      </c>
      <c r="F623" s="66" t="s">
        <v>135</v>
      </c>
      <c r="G623" s="66" t="s">
        <v>135</v>
      </c>
      <c r="H623" s="66" t="s">
        <v>135</v>
      </c>
      <c r="I623" s="66" t="s">
        <v>211</v>
      </c>
      <c r="J623" s="67" t="s">
        <v>397</v>
      </c>
      <c r="K623" s="309"/>
      <c r="L623" s="68"/>
      <c r="M623" s="69"/>
      <c r="N623" s="216">
        <f t="shared" si="322"/>
        <v>0</v>
      </c>
      <c r="O623" s="216">
        <f t="shared" si="322"/>
        <v>0</v>
      </c>
      <c r="P623" s="216">
        <f t="shared" si="322"/>
        <v>0</v>
      </c>
      <c r="Q623" s="215">
        <f t="shared" si="324"/>
        <v>2310818</v>
      </c>
      <c r="R623" s="216">
        <f t="shared" si="324"/>
        <v>0</v>
      </c>
      <c r="S623" s="216">
        <f t="shared" si="324"/>
        <v>0</v>
      </c>
      <c r="T623" s="216">
        <f t="shared" si="324"/>
        <v>0</v>
      </c>
      <c r="U623" s="217">
        <f t="shared" si="324"/>
        <v>28271020.41</v>
      </c>
      <c r="V623" s="216">
        <f t="shared" si="324"/>
        <v>250818</v>
      </c>
      <c r="W623" s="215">
        <f t="shared" si="324"/>
        <v>0</v>
      </c>
      <c r="X623" s="215">
        <f t="shared" si="324"/>
        <v>285565</v>
      </c>
      <c r="Y623" s="216">
        <f t="shared" si="324"/>
        <v>28556585.41</v>
      </c>
      <c r="Z623" s="217">
        <f t="shared" si="324"/>
        <v>28271046.510000002</v>
      </c>
      <c r="AA623" s="216">
        <f t="shared" si="324"/>
        <v>285565</v>
      </c>
      <c r="AB623" s="216">
        <f t="shared" si="324"/>
        <v>28556611.510000002</v>
      </c>
    </row>
    <row r="624" spans="1:28" ht="30.75" customHeight="1" x14ac:dyDescent="0.2">
      <c r="A624" s="212" t="s">
        <v>52</v>
      </c>
      <c r="B624" s="58" t="s">
        <v>118</v>
      </c>
      <c r="C624" s="59" t="s">
        <v>73</v>
      </c>
      <c r="D624" s="58" t="s">
        <v>76</v>
      </c>
      <c r="E624" s="105" t="s">
        <v>73</v>
      </c>
      <c r="F624" s="70" t="s">
        <v>135</v>
      </c>
      <c r="G624" s="66" t="s">
        <v>135</v>
      </c>
      <c r="H624" s="66" t="s">
        <v>135</v>
      </c>
      <c r="I624" s="66" t="s">
        <v>211</v>
      </c>
      <c r="J624" s="67" t="s">
        <v>397</v>
      </c>
      <c r="K624" s="372" t="s">
        <v>53</v>
      </c>
      <c r="L624" s="68"/>
      <c r="M624" s="69"/>
      <c r="N624" s="216">
        <f t="shared" si="322"/>
        <v>0</v>
      </c>
      <c r="O624" s="216">
        <f t="shared" si="322"/>
        <v>0</v>
      </c>
      <c r="P624" s="216">
        <f t="shared" si="322"/>
        <v>0</v>
      </c>
      <c r="Q624" s="215">
        <f t="shared" si="324"/>
        <v>2310818</v>
      </c>
      <c r="R624" s="216">
        <f t="shared" si="324"/>
        <v>0</v>
      </c>
      <c r="S624" s="216">
        <f t="shared" si="324"/>
        <v>0</v>
      </c>
      <c r="T624" s="216">
        <f t="shared" si="324"/>
        <v>0</v>
      </c>
      <c r="U624" s="217">
        <f t="shared" si="324"/>
        <v>28271020.41</v>
      </c>
      <c r="V624" s="216">
        <f t="shared" si="324"/>
        <v>250818</v>
      </c>
      <c r="W624" s="215">
        <f t="shared" si="324"/>
        <v>0</v>
      </c>
      <c r="X624" s="215">
        <f t="shared" si="324"/>
        <v>285565</v>
      </c>
      <c r="Y624" s="216">
        <f t="shared" si="324"/>
        <v>28556585.41</v>
      </c>
      <c r="Z624" s="217">
        <f t="shared" si="324"/>
        <v>28271046.510000002</v>
      </c>
      <c r="AA624" s="216">
        <f t="shared" si="324"/>
        <v>285565</v>
      </c>
      <c r="AB624" s="216">
        <f t="shared" si="324"/>
        <v>28556611.510000002</v>
      </c>
    </row>
    <row r="625" spans="1:28" ht="36.75" customHeight="1" x14ac:dyDescent="0.2">
      <c r="A625" s="212" t="s">
        <v>54</v>
      </c>
      <c r="B625" s="58" t="s">
        <v>118</v>
      </c>
      <c r="C625" s="59" t="s">
        <v>73</v>
      </c>
      <c r="D625" s="58" t="s">
        <v>76</v>
      </c>
      <c r="E625" s="105" t="s">
        <v>73</v>
      </c>
      <c r="F625" s="70" t="s">
        <v>135</v>
      </c>
      <c r="G625" s="66" t="s">
        <v>135</v>
      </c>
      <c r="H625" s="66" t="s">
        <v>135</v>
      </c>
      <c r="I625" s="66" t="s">
        <v>211</v>
      </c>
      <c r="J625" s="67" t="s">
        <v>397</v>
      </c>
      <c r="K625" s="372" t="s">
        <v>55</v>
      </c>
      <c r="L625" s="68"/>
      <c r="M625" s="69"/>
      <c r="N625" s="216">
        <v>0</v>
      </c>
      <c r="O625" s="216">
        <v>0</v>
      </c>
      <c r="P625" s="216">
        <v>0</v>
      </c>
      <c r="Q625" s="215">
        <f>550000+1350000+410818</f>
        <v>2310818</v>
      </c>
      <c r="R625" s="216">
        <v>0</v>
      </c>
      <c r="S625" s="216">
        <v>0</v>
      </c>
      <c r="T625" s="216">
        <v>0</v>
      </c>
      <c r="U625" s="217">
        <v>28271020.41</v>
      </c>
      <c r="V625" s="216">
        <v>250818</v>
      </c>
      <c r="W625" s="215">
        <v>0</v>
      </c>
      <c r="X625" s="215">
        <f>250818+34747</f>
        <v>285565</v>
      </c>
      <c r="Y625" s="216">
        <f>X625+U625</f>
        <v>28556585.41</v>
      </c>
      <c r="Z625" s="217">
        <v>28271046.510000002</v>
      </c>
      <c r="AA625" s="216">
        <f>250818+34747</f>
        <v>285565</v>
      </c>
      <c r="AB625" s="216">
        <f>AA625+Z625</f>
        <v>28556611.510000002</v>
      </c>
    </row>
    <row r="626" spans="1:28" ht="16.5" customHeight="1" x14ac:dyDescent="0.2">
      <c r="A626" s="212" t="s">
        <v>163</v>
      </c>
      <c r="B626" s="58" t="s">
        <v>118</v>
      </c>
      <c r="C626" s="59" t="s">
        <v>73</v>
      </c>
      <c r="D626" s="58" t="s">
        <v>72</v>
      </c>
      <c r="E626" s="105"/>
      <c r="F626" s="70"/>
      <c r="G626" s="66"/>
      <c r="H626" s="66"/>
      <c r="I626" s="71"/>
      <c r="J626" s="67"/>
      <c r="K626" s="372"/>
      <c r="L626" s="68">
        <f>L631</f>
        <v>500000</v>
      </c>
      <c r="M626" s="69">
        <f>M631</f>
        <v>0</v>
      </c>
      <c r="N626" s="216">
        <f t="shared" ref="N626:O626" si="326">N631+N635+N642</f>
        <v>0</v>
      </c>
      <c r="O626" s="216">
        <f t="shared" si="326"/>
        <v>0</v>
      </c>
      <c r="P626" s="216">
        <f>P631+P635+P642+P627</f>
        <v>17447672.699999999</v>
      </c>
      <c r="Q626" s="216">
        <f t="shared" ref="Q626:AB626" si="327">Q631+Q635+Q642+Q627</f>
        <v>11284137.68</v>
      </c>
      <c r="R626" s="216">
        <f t="shared" si="327"/>
        <v>0</v>
      </c>
      <c r="S626" s="216">
        <f t="shared" si="327"/>
        <v>3195697.55</v>
      </c>
      <c r="T626" s="216">
        <f t="shared" si="327"/>
        <v>20643370.25</v>
      </c>
      <c r="U626" s="217">
        <f t="shared" si="327"/>
        <v>10817415.08</v>
      </c>
      <c r="V626" s="216">
        <f t="shared" si="327"/>
        <v>7999486.9800000004</v>
      </c>
      <c r="W626" s="216">
        <f t="shared" si="327"/>
        <v>0</v>
      </c>
      <c r="X626" s="215">
        <f t="shared" si="327"/>
        <v>0</v>
      </c>
      <c r="Y626" s="216">
        <f t="shared" si="327"/>
        <v>10817415.08</v>
      </c>
      <c r="Z626" s="217">
        <f t="shared" si="327"/>
        <v>7532764.3800000008</v>
      </c>
      <c r="AA626" s="216">
        <f t="shared" si="327"/>
        <v>0</v>
      </c>
      <c r="AB626" s="216">
        <f t="shared" si="327"/>
        <v>7532764.3800000008</v>
      </c>
    </row>
    <row r="627" spans="1:28" ht="42" customHeight="1" x14ac:dyDescent="0.2">
      <c r="A627" s="212" t="s">
        <v>356</v>
      </c>
      <c r="B627" s="58" t="s">
        <v>118</v>
      </c>
      <c r="C627" s="59" t="s">
        <v>73</v>
      </c>
      <c r="D627" s="58" t="s">
        <v>72</v>
      </c>
      <c r="E627" s="103" t="s">
        <v>72</v>
      </c>
      <c r="F627" s="66" t="s">
        <v>135</v>
      </c>
      <c r="G627" s="66" t="s">
        <v>135</v>
      </c>
      <c r="H627" s="66" t="s">
        <v>135</v>
      </c>
      <c r="I627" s="72" t="s">
        <v>136</v>
      </c>
      <c r="J627" s="67" t="s">
        <v>135</v>
      </c>
      <c r="K627" s="372"/>
      <c r="L627" s="68"/>
      <c r="M627" s="69"/>
      <c r="N627" s="216"/>
      <c r="O627" s="216"/>
      <c r="P627" s="216">
        <f>P628</f>
        <v>0</v>
      </c>
      <c r="Q627" s="215"/>
      <c r="R627" s="216"/>
      <c r="S627" s="216">
        <f t="shared" ref="S627:U629" si="328">S628</f>
        <v>4822500</v>
      </c>
      <c r="T627" s="216">
        <f t="shared" si="328"/>
        <v>4822500</v>
      </c>
      <c r="U627" s="217">
        <f t="shared" si="328"/>
        <v>0</v>
      </c>
      <c r="V627" s="215"/>
      <c r="W627" s="216"/>
      <c r="X627" s="215">
        <f t="shared" ref="X627:Z629" si="329">X628</f>
        <v>0</v>
      </c>
      <c r="Y627" s="216">
        <f t="shared" si="329"/>
        <v>0</v>
      </c>
      <c r="Z627" s="217">
        <f t="shared" si="329"/>
        <v>0</v>
      </c>
      <c r="AA627" s="216">
        <f t="shared" ref="AA627:AA629" si="330">AA628</f>
        <v>0</v>
      </c>
      <c r="AB627" s="216">
        <f t="shared" ref="AB627:AB629" si="331">AB628</f>
        <v>0</v>
      </c>
    </row>
    <row r="628" spans="1:28" ht="61.5" customHeight="1" x14ac:dyDescent="0.2">
      <c r="A628" s="212" t="s">
        <v>358</v>
      </c>
      <c r="B628" s="58" t="s">
        <v>118</v>
      </c>
      <c r="C628" s="59" t="s">
        <v>73</v>
      </c>
      <c r="D628" s="58" t="s">
        <v>72</v>
      </c>
      <c r="E628" s="103" t="s">
        <v>72</v>
      </c>
      <c r="F628" s="66" t="s">
        <v>135</v>
      </c>
      <c r="G628" s="66" t="s">
        <v>135</v>
      </c>
      <c r="H628" s="66" t="s">
        <v>135</v>
      </c>
      <c r="I628" s="72" t="s">
        <v>357</v>
      </c>
      <c r="J628" s="67" t="s">
        <v>135</v>
      </c>
      <c r="K628" s="372"/>
      <c r="L628" s="68"/>
      <c r="M628" s="69"/>
      <c r="N628" s="216"/>
      <c r="O628" s="216"/>
      <c r="P628" s="216">
        <f>P629</f>
        <v>0</v>
      </c>
      <c r="Q628" s="215"/>
      <c r="R628" s="216"/>
      <c r="S628" s="216">
        <f t="shared" si="328"/>
        <v>4822500</v>
      </c>
      <c r="T628" s="216">
        <f t="shared" si="328"/>
        <v>4822500</v>
      </c>
      <c r="U628" s="217">
        <f t="shared" si="328"/>
        <v>0</v>
      </c>
      <c r="V628" s="215"/>
      <c r="W628" s="216"/>
      <c r="X628" s="215">
        <f t="shared" si="329"/>
        <v>0</v>
      </c>
      <c r="Y628" s="216">
        <f t="shared" si="329"/>
        <v>0</v>
      </c>
      <c r="Z628" s="217">
        <f t="shared" si="329"/>
        <v>0</v>
      </c>
      <c r="AA628" s="216">
        <f t="shared" si="330"/>
        <v>0</v>
      </c>
      <c r="AB628" s="216">
        <f t="shared" si="331"/>
        <v>0</v>
      </c>
    </row>
    <row r="629" spans="1:28" ht="25.5" x14ac:dyDescent="0.2">
      <c r="A629" s="212" t="s">
        <v>52</v>
      </c>
      <c r="B629" s="58" t="s">
        <v>118</v>
      </c>
      <c r="C629" s="59" t="s">
        <v>73</v>
      </c>
      <c r="D629" s="58" t="s">
        <v>72</v>
      </c>
      <c r="E629" s="103" t="s">
        <v>72</v>
      </c>
      <c r="F629" s="66" t="s">
        <v>135</v>
      </c>
      <c r="G629" s="66" t="s">
        <v>135</v>
      </c>
      <c r="H629" s="66" t="s">
        <v>135</v>
      </c>
      <c r="I629" s="72" t="s">
        <v>357</v>
      </c>
      <c r="J629" s="67" t="s">
        <v>135</v>
      </c>
      <c r="K629" s="372" t="s">
        <v>53</v>
      </c>
      <c r="L629" s="68"/>
      <c r="M629" s="69"/>
      <c r="N629" s="216"/>
      <c r="O629" s="216"/>
      <c r="P629" s="216">
        <f>P630</f>
        <v>0</v>
      </c>
      <c r="Q629" s="215"/>
      <c r="R629" s="216"/>
      <c r="S629" s="216">
        <f t="shared" si="328"/>
        <v>4822500</v>
      </c>
      <c r="T629" s="216">
        <f t="shared" si="328"/>
        <v>4822500</v>
      </c>
      <c r="U629" s="217">
        <f t="shared" si="328"/>
        <v>0</v>
      </c>
      <c r="V629" s="215"/>
      <c r="W629" s="216"/>
      <c r="X629" s="215">
        <f t="shared" si="329"/>
        <v>0</v>
      </c>
      <c r="Y629" s="216">
        <f t="shared" si="329"/>
        <v>0</v>
      </c>
      <c r="Z629" s="217">
        <f t="shared" si="329"/>
        <v>0</v>
      </c>
      <c r="AA629" s="216">
        <f t="shared" si="330"/>
        <v>0</v>
      </c>
      <c r="AB629" s="216">
        <f t="shared" si="331"/>
        <v>0</v>
      </c>
    </row>
    <row r="630" spans="1:28" ht="25.5" x14ac:dyDescent="0.2">
      <c r="A630" s="212" t="s">
        <v>54</v>
      </c>
      <c r="B630" s="58" t="s">
        <v>118</v>
      </c>
      <c r="C630" s="59" t="s">
        <v>73</v>
      </c>
      <c r="D630" s="58" t="s">
        <v>72</v>
      </c>
      <c r="E630" s="103" t="s">
        <v>72</v>
      </c>
      <c r="F630" s="66" t="s">
        <v>135</v>
      </c>
      <c r="G630" s="66" t="s">
        <v>135</v>
      </c>
      <c r="H630" s="66" t="s">
        <v>135</v>
      </c>
      <c r="I630" s="72" t="s">
        <v>357</v>
      </c>
      <c r="J630" s="67" t="s">
        <v>135</v>
      </c>
      <c r="K630" s="372" t="s">
        <v>55</v>
      </c>
      <c r="L630" s="68"/>
      <c r="M630" s="69"/>
      <c r="N630" s="216"/>
      <c r="O630" s="216"/>
      <c r="P630" s="216">
        <v>0</v>
      </c>
      <c r="Q630" s="215"/>
      <c r="R630" s="216"/>
      <c r="S630" s="216">
        <v>4822500</v>
      </c>
      <c r="T630" s="216">
        <f>S630</f>
        <v>4822500</v>
      </c>
      <c r="U630" s="217">
        <v>0</v>
      </c>
      <c r="V630" s="215"/>
      <c r="W630" s="216"/>
      <c r="X630" s="215">
        <v>0</v>
      </c>
      <c r="Y630" s="216">
        <v>0</v>
      </c>
      <c r="Z630" s="217">
        <v>0</v>
      </c>
      <c r="AA630" s="216">
        <v>0</v>
      </c>
      <c r="AB630" s="216">
        <v>0</v>
      </c>
    </row>
    <row r="631" spans="1:28" ht="38.25" x14ac:dyDescent="0.2">
      <c r="A631" s="226" t="s">
        <v>327</v>
      </c>
      <c r="B631" s="58" t="s">
        <v>118</v>
      </c>
      <c r="C631" s="59" t="s">
        <v>73</v>
      </c>
      <c r="D631" s="58" t="s">
        <v>72</v>
      </c>
      <c r="E631" s="105" t="s">
        <v>157</v>
      </c>
      <c r="F631" s="70" t="s">
        <v>135</v>
      </c>
      <c r="G631" s="66" t="s">
        <v>135</v>
      </c>
      <c r="H631" s="66" t="s">
        <v>135</v>
      </c>
      <c r="I631" s="71" t="s">
        <v>136</v>
      </c>
      <c r="J631" s="67" t="s">
        <v>135</v>
      </c>
      <c r="K631" s="372"/>
      <c r="L631" s="68">
        <f t="shared" ref="L631:P633" si="332">L632</f>
        <v>500000</v>
      </c>
      <c r="M631" s="69">
        <f t="shared" si="332"/>
        <v>0</v>
      </c>
      <c r="N631" s="216">
        <f t="shared" si="332"/>
        <v>0</v>
      </c>
      <c r="O631" s="216">
        <f t="shared" si="332"/>
        <v>0</v>
      </c>
      <c r="P631" s="216">
        <f t="shared" si="332"/>
        <v>0</v>
      </c>
      <c r="Q631" s="215">
        <f t="shared" ref="Q631:AB633" si="333">Q632</f>
        <v>1200000</v>
      </c>
      <c r="R631" s="216">
        <f t="shared" si="333"/>
        <v>0</v>
      </c>
      <c r="S631" s="216">
        <f t="shared" si="333"/>
        <v>0</v>
      </c>
      <c r="T631" s="216">
        <f t="shared" si="333"/>
        <v>0</v>
      </c>
      <c r="U631" s="217">
        <f t="shared" si="333"/>
        <v>1200000</v>
      </c>
      <c r="V631" s="216">
        <f t="shared" si="333"/>
        <v>1200000</v>
      </c>
      <c r="W631" s="215">
        <f t="shared" si="333"/>
        <v>0</v>
      </c>
      <c r="X631" s="215">
        <f t="shared" si="333"/>
        <v>0</v>
      </c>
      <c r="Y631" s="216">
        <f t="shared" si="333"/>
        <v>1200000</v>
      </c>
      <c r="Z631" s="217">
        <f t="shared" si="333"/>
        <v>1200000</v>
      </c>
      <c r="AA631" s="216">
        <f t="shared" si="333"/>
        <v>0</v>
      </c>
      <c r="AB631" s="216">
        <f t="shared" si="333"/>
        <v>1200000</v>
      </c>
    </row>
    <row r="632" spans="1:28" ht="19.5" customHeight="1" x14ac:dyDescent="0.2">
      <c r="A632" s="258" t="s">
        <v>179</v>
      </c>
      <c r="B632" s="58" t="s">
        <v>118</v>
      </c>
      <c r="C632" s="59" t="s">
        <v>73</v>
      </c>
      <c r="D632" s="58" t="s">
        <v>72</v>
      </c>
      <c r="E632" s="105" t="s">
        <v>157</v>
      </c>
      <c r="F632" s="70" t="s">
        <v>135</v>
      </c>
      <c r="G632" s="66" t="s">
        <v>135</v>
      </c>
      <c r="H632" s="66" t="s">
        <v>135</v>
      </c>
      <c r="I632" s="71" t="s">
        <v>167</v>
      </c>
      <c r="J632" s="67" t="s">
        <v>135</v>
      </c>
      <c r="K632" s="372"/>
      <c r="L632" s="68">
        <f t="shared" si="332"/>
        <v>500000</v>
      </c>
      <c r="M632" s="69">
        <f t="shared" si="332"/>
        <v>0</v>
      </c>
      <c r="N632" s="216">
        <f t="shared" si="332"/>
        <v>0</v>
      </c>
      <c r="O632" s="216">
        <f t="shared" si="332"/>
        <v>0</v>
      </c>
      <c r="P632" s="216">
        <f t="shared" si="332"/>
        <v>0</v>
      </c>
      <c r="Q632" s="215">
        <f t="shared" si="333"/>
        <v>1200000</v>
      </c>
      <c r="R632" s="216">
        <f t="shared" si="333"/>
        <v>0</v>
      </c>
      <c r="S632" s="216">
        <f t="shared" si="333"/>
        <v>0</v>
      </c>
      <c r="T632" s="216">
        <f t="shared" si="333"/>
        <v>0</v>
      </c>
      <c r="U632" s="217">
        <f t="shared" si="333"/>
        <v>1200000</v>
      </c>
      <c r="V632" s="216">
        <f t="shared" si="333"/>
        <v>1200000</v>
      </c>
      <c r="W632" s="215">
        <f t="shared" si="333"/>
        <v>0</v>
      </c>
      <c r="X632" s="215">
        <f t="shared" si="333"/>
        <v>0</v>
      </c>
      <c r="Y632" s="216">
        <f t="shared" si="333"/>
        <v>1200000</v>
      </c>
      <c r="Z632" s="217">
        <f t="shared" si="333"/>
        <v>1200000</v>
      </c>
      <c r="AA632" s="216">
        <f t="shared" si="333"/>
        <v>0</v>
      </c>
      <c r="AB632" s="216">
        <f t="shared" si="333"/>
        <v>1200000</v>
      </c>
    </row>
    <row r="633" spans="1:28" ht="25.5" x14ac:dyDescent="0.2">
      <c r="A633" s="212" t="s">
        <v>52</v>
      </c>
      <c r="B633" s="58" t="s">
        <v>118</v>
      </c>
      <c r="C633" s="59" t="s">
        <v>73</v>
      </c>
      <c r="D633" s="58" t="s">
        <v>72</v>
      </c>
      <c r="E633" s="105" t="s">
        <v>157</v>
      </c>
      <c r="F633" s="70" t="s">
        <v>135</v>
      </c>
      <c r="G633" s="66" t="s">
        <v>135</v>
      </c>
      <c r="H633" s="66" t="s">
        <v>135</v>
      </c>
      <c r="I633" s="71" t="s">
        <v>167</v>
      </c>
      <c r="J633" s="67" t="s">
        <v>135</v>
      </c>
      <c r="K633" s="372" t="s">
        <v>53</v>
      </c>
      <c r="L633" s="68">
        <f t="shared" si="332"/>
        <v>500000</v>
      </c>
      <c r="M633" s="69">
        <f t="shared" si="332"/>
        <v>0</v>
      </c>
      <c r="N633" s="216">
        <f t="shared" si="332"/>
        <v>0</v>
      </c>
      <c r="O633" s="216">
        <f t="shared" si="332"/>
        <v>0</v>
      </c>
      <c r="P633" s="216">
        <f t="shared" si="332"/>
        <v>0</v>
      </c>
      <c r="Q633" s="215">
        <f t="shared" si="333"/>
        <v>1200000</v>
      </c>
      <c r="R633" s="216">
        <f t="shared" si="333"/>
        <v>0</v>
      </c>
      <c r="S633" s="216">
        <f t="shared" si="333"/>
        <v>0</v>
      </c>
      <c r="T633" s="216">
        <f t="shared" si="333"/>
        <v>0</v>
      </c>
      <c r="U633" s="217">
        <f t="shared" si="333"/>
        <v>1200000</v>
      </c>
      <c r="V633" s="216">
        <f t="shared" si="333"/>
        <v>1200000</v>
      </c>
      <c r="W633" s="215">
        <f t="shared" si="333"/>
        <v>0</v>
      </c>
      <c r="X633" s="215">
        <f t="shared" si="333"/>
        <v>0</v>
      </c>
      <c r="Y633" s="216">
        <f t="shared" si="333"/>
        <v>1200000</v>
      </c>
      <c r="Z633" s="217">
        <f t="shared" si="333"/>
        <v>1200000</v>
      </c>
      <c r="AA633" s="216">
        <f t="shared" si="333"/>
        <v>0</v>
      </c>
      <c r="AB633" s="216">
        <f t="shared" si="333"/>
        <v>1200000</v>
      </c>
    </row>
    <row r="634" spans="1:28" ht="25.5" x14ac:dyDescent="0.2">
      <c r="A634" s="212" t="s">
        <v>54</v>
      </c>
      <c r="B634" s="58" t="s">
        <v>118</v>
      </c>
      <c r="C634" s="59" t="s">
        <v>73</v>
      </c>
      <c r="D634" s="58" t="s">
        <v>72</v>
      </c>
      <c r="E634" s="105" t="s">
        <v>157</v>
      </c>
      <c r="F634" s="70" t="s">
        <v>135</v>
      </c>
      <c r="G634" s="66" t="s">
        <v>135</v>
      </c>
      <c r="H634" s="66" t="s">
        <v>135</v>
      </c>
      <c r="I634" s="71" t="s">
        <v>167</v>
      </c>
      <c r="J634" s="67" t="s">
        <v>135</v>
      </c>
      <c r="K634" s="372" t="s">
        <v>55</v>
      </c>
      <c r="L634" s="68">
        <v>500000</v>
      </c>
      <c r="M634" s="69">
        <v>0</v>
      </c>
      <c r="N634" s="216">
        <v>0</v>
      </c>
      <c r="O634" s="216">
        <v>0</v>
      </c>
      <c r="P634" s="216">
        <v>0</v>
      </c>
      <c r="Q634" s="215">
        <v>1200000</v>
      </c>
      <c r="R634" s="216">
        <v>0</v>
      </c>
      <c r="S634" s="216">
        <v>0</v>
      </c>
      <c r="T634" s="216">
        <v>0</v>
      </c>
      <c r="U634" s="217">
        <v>1200000</v>
      </c>
      <c r="V634" s="216">
        <v>1200000</v>
      </c>
      <c r="W634" s="215">
        <v>0</v>
      </c>
      <c r="X634" s="215">
        <v>0</v>
      </c>
      <c r="Y634" s="216">
        <v>1200000</v>
      </c>
      <c r="Z634" s="217">
        <v>1200000</v>
      </c>
      <c r="AA634" s="216">
        <v>0</v>
      </c>
      <c r="AB634" s="216">
        <v>1200000</v>
      </c>
    </row>
    <row r="635" spans="1:28" ht="25.5" x14ac:dyDescent="0.2">
      <c r="A635" s="212" t="s">
        <v>331</v>
      </c>
      <c r="B635" s="58" t="s">
        <v>118</v>
      </c>
      <c r="C635" s="58" t="s">
        <v>73</v>
      </c>
      <c r="D635" s="58" t="s">
        <v>72</v>
      </c>
      <c r="E635" s="105" t="s">
        <v>267</v>
      </c>
      <c r="F635" s="70" t="s">
        <v>135</v>
      </c>
      <c r="G635" s="66" t="s">
        <v>135</v>
      </c>
      <c r="H635" s="66" t="s">
        <v>135</v>
      </c>
      <c r="I635" s="71" t="s">
        <v>136</v>
      </c>
      <c r="J635" s="67" t="s">
        <v>135</v>
      </c>
      <c r="K635" s="372"/>
      <c r="L635" s="68"/>
      <c r="M635" s="69"/>
      <c r="N635" s="216">
        <f t="shared" ref="N635:AB640" si="334">N636</f>
        <v>0</v>
      </c>
      <c r="O635" s="216">
        <f t="shared" si="334"/>
        <v>0</v>
      </c>
      <c r="P635" s="216">
        <f>P636+P639</f>
        <v>17447672.699999999</v>
      </c>
      <c r="Q635" s="216">
        <f t="shared" ref="Q635:AB635" si="335">Q636+Q639</f>
        <v>933445.2</v>
      </c>
      <c r="R635" s="216">
        <f t="shared" si="335"/>
        <v>0</v>
      </c>
      <c r="S635" s="216">
        <f t="shared" si="335"/>
        <v>-1626802.4500000002</v>
      </c>
      <c r="T635" s="216">
        <f t="shared" si="335"/>
        <v>15820870.25</v>
      </c>
      <c r="U635" s="217">
        <f t="shared" si="335"/>
        <v>466722.6</v>
      </c>
      <c r="V635" s="216">
        <f t="shared" si="335"/>
        <v>933445.2</v>
      </c>
      <c r="W635" s="216">
        <f t="shared" si="335"/>
        <v>0</v>
      </c>
      <c r="X635" s="215">
        <f t="shared" si="335"/>
        <v>0</v>
      </c>
      <c r="Y635" s="216">
        <f t="shared" si="335"/>
        <v>466722.6</v>
      </c>
      <c r="Z635" s="217">
        <f t="shared" si="335"/>
        <v>466722.6</v>
      </c>
      <c r="AA635" s="216">
        <f t="shared" si="335"/>
        <v>0</v>
      </c>
      <c r="AB635" s="216">
        <f t="shared" si="335"/>
        <v>466722.6</v>
      </c>
    </row>
    <row r="636" spans="1:28" ht="25.5" x14ac:dyDescent="0.2">
      <c r="A636" s="258" t="s">
        <v>315</v>
      </c>
      <c r="B636" s="58" t="s">
        <v>118</v>
      </c>
      <c r="C636" s="58" t="s">
        <v>73</v>
      </c>
      <c r="D636" s="59" t="s">
        <v>72</v>
      </c>
      <c r="E636" s="70" t="s">
        <v>267</v>
      </c>
      <c r="F636" s="70" t="s">
        <v>135</v>
      </c>
      <c r="G636" s="66" t="s">
        <v>135</v>
      </c>
      <c r="H636" s="66" t="s">
        <v>135</v>
      </c>
      <c r="I636" s="71" t="s">
        <v>316</v>
      </c>
      <c r="J636" s="67" t="s">
        <v>135</v>
      </c>
      <c r="K636" s="372"/>
      <c r="L636" s="68"/>
      <c r="M636" s="69"/>
      <c r="N636" s="216">
        <f t="shared" si="334"/>
        <v>0</v>
      </c>
      <c r="O636" s="216">
        <f t="shared" si="334"/>
        <v>0</v>
      </c>
      <c r="P636" s="216">
        <f t="shared" si="334"/>
        <v>0</v>
      </c>
      <c r="Q636" s="215">
        <f t="shared" si="334"/>
        <v>466722.6</v>
      </c>
      <c r="R636" s="216">
        <f t="shared" si="334"/>
        <v>0</v>
      </c>
      <c r="S636" s="216">
        <f t="shared" si="334"/>
        <v>2376836.46</v>
      </c>
      <c r="T636" s="216">
        <f t="shared" si="334"/>
        <v>2376836.46</v>
      </c>
      <c r="U636" s="217">
        <f t="shared" si="334"/>
        <v>466722.6</v>
      </c>
      <c r="V636" s="216">
        <f t="shared" si="334"/>
        <v>466722.6</v>
      </c>
      <c r="W636" s="215">
        <f t="shared" si="334"/>
        <v>0</v>
      </c>
      <c r="X636" s="215">
        <f t="shared" si="334"/>
        <v>0</v>
      </c>
      <c r="Y636" s="216">
        <f t="shared" si="334"/>
        <v>466722.6</v>
      </c>
      <c r="Z636" s="217">
        <f t="shared" si="334"/>
        <v>466722.6</v>
      </c>
      <c r="AA636" s="216">
        <f t="shared" si="334"/>
        <v>0</v>
      </c>
      <c r="AB636" s="216">
        <f t="shared" si="334"/>
        <v>466722.6</v>
      </c>
    </row>
    <row r="637" spans="1:28" ht="25.5" x14ac:dyDescent="0.2">
      <c r="A637" s="212" t="s">
        <v>52</v>
      </c>
      <c r="B637" s="58" t="s">
        <v>118</v>
      </c>
      <c r="C637" s="58" t="s">
        <v>73</v>
      </c>
      <c r="D637" s="59" t="s">
        <v>72</v>
      </c>
      <c r="E637" s="70" t="s">
        <v>267</v>
      </c>
      <c r="F637" s="70" t="s">
        <v>135</v>
      </c>
      <c r="G637" s="66" t="s">
        <v>135</v>
      </c>
      <c r="H637" s="66" t="s">
        <v>135</v>
      </c>
      <c r="I637" s="71" t="s">
        <v>316</v>
      </c>
      <c r="J637" s="67" t="s">
        <v>135</v>
      </c>
      <c r="K637" s="372" t="s">
        <v>53</v>
      </c>
      <c r="L637" s="68"/>
      <c r="M637" s="69"/>
      <c r="N637" s="216">
        <f t="shared" si="334"/>
        <v>0</v>
      </c>
      <c r="O637" s="216">
        <f t="shared" si="334"/>
        <v>0</v>
      </c>
      <c r="P637" s="216">
        <f t="shared" si="334"/>
        <v>0</v>
      </c>
      <c r="Q637" s="215">
        <f t="shared" si="334"/>
        <v>466722.6</v>
      </c>
      <c r="R637" s="216">
        <f t="shared" si="334"/>
        <v>0</v>
      </c>
      <c r="S637" s="216">
        <f t="shared" si="334"/>
        <v>2376836.46</v>
      </c>
      <c r="T637" s="216">
        <f t="shared" si="334"/>
        <v>2376836.46</v>
      </c>
      <c r="U637" s="217">
        <f t="shared" si="334"/>
        <v>466722.6</v>
      </c>
      <c r="V637" s="216">
        <f t="shared" si="334"/>
        <v>466722.6</v>
      </c>
      <c r="W637" s="215">
        <f t="shared" si="334"/>
        <v>0</v>
      </c>
      <c r="X637" s="215">
        <f t="shared" si="334"/>
        <v>0</v>
      </c>
      <c r="Y637" s="216">
        <f t="shared" si="334"/>
        <v>466722.6</v>
      </c>
      <c r="Z637" s="217">
        <f t="shared" si="334"/>
        <v>466722.6</v>
      </c>
      <c r="AA637" s="216">
        <f t="shared" si="334"/>
        <v>0</v>
      </c>
      <c r="AB637" s="216">
        <f t="shared" si="334"/>
        <v>466722.6</v>
      </c>
    </row>
    <row r="638" spans="1:28" ht="25.5" x14ac:dyDescent="0.2">
      <c r="A638" s="212" t="s">
        <v>54</v>
      </c>
      <c r="B638" s="58" t="s">
        <v>118</v>
      </c>
      <c r="C638" s="58" t="s">
        <v>73</v>
      </c>
      <c r="D638" s="59" t="s">
        <v>72</v>
      </c>
      <c r="E638" s="70" t="s">
        <v>267</v>
      </c>
      <c r="F638" s="70" t="s">
        <v>135</v>
      </c>
      <c r="G638" s="66" t="s">
        <v>135</v>
      </c>
      <c r="H638" s="66" t="s">
        <v>135</v>
      </c>
      <c r="I638" s="71" t="s">
        <v>316</v>
      </c>
      <c r="J638" s="67" t="s">
        <v>135</v>
      </c>
      <c r="K638" s="372" t="s">
        <v>55</v>
      </c>
      <c r="L638" s="68"/>
      <c r="M638" s="69"/>
      <c r="N638" s="216">
        <v>0</v>
      </c>
      <c r="O638" s="216">
        <v>0</v>
      </c>
      <c r="P638" s="216">
        <v>0</v>
      </c>
      <c r="Q638" s="215">
        <f>466722.6</f>
        <v>466722.6</v>
      </c>
      <c r="R638" s="216">
        <v>0</v>
      </c>
      <c r="S638" s="216">
        <v>2376836.46</v>
      </c>
      <c r="T638" s="216">
        <f>S638</f>
        <v>2376836.46</v>
      </c>
      <c r="U638" s="217">
        <f>466722.6</f>
        <v>466722.6</v>
      </c>
      <c r="V638" s="216">
        <f>466722.6</f>
        <v>466722.6</v>
      </c>
      <c r="W638" s="215">
        <v>0</v>
      </c>
      <c r="X638" s="215">
        <v>0</v>
      </c>
      <c r="Y638" s="216">
        <f>466722.6</f>
        <v>466722.6</v>
      </c>
      <c r="Z638" s="217">
        <f>466722.6</f>
        <v>466722.6</v>
      </c>
      <c r="AA638" s="216">
        <v>0</v>
      </c>
      <c r="AB638" s="216">
        <f>466722.6</f>
        <v>466722.6</v>
      </c>
    </row>
    <row r="639" spans="1:28" ht="51" x14ac:dyDescent="0.2">
      <c r="A639" s="258" t="s">
        <v>433</v>
      </c>
      <c r="B639" s="58" t="s">
        <v>118</v>
      </c>
      <c r="C639" s="58" t="s">
        <v>73</v>
      </c>
      <c r="D639" s="59" t="s">
        <v>72</v>
      </c>
      <c r="E639" s="70" t="s">
        <v>267</v>
      </c>
      <c r="F639" s="70" t="s">
        <v>135</v>
      </c>
      <c r="G639" s="66" t="s">
        <v>425</v>
      </c>
      <c r="H639" s="66" t="s">
        <v>133</v>
      </c>
      <c r="I639" s="71" t="s">
        <v>426</v>
      </c>
      <c r="J639" s="67" t="s">
        <v>137</v>
      </c>
      <c r="K639" s="372"/>
      <c r="L639" s="68"/>
      <c r="M639" s="69"/>
      <c r="N639" s="216">
        <f t="shared" si="334"/>
        <v>0</v>
      </c>
      <c r="O639" s="216">
        <f t="shared" si="334"/>
        <v>0</v>
      </c>
      <c r="P639" s="216">
        <f t="shared" si="334"/>
        <v>17447672.699999999</v>
      </c>
      <c r="Q639" s="215">
        <f t="shared" si="334"/>
        <v>466722.6</v>
      </c>
      <c r="R639" s="216">
        <f t="shared" si="334"/>
        <v>0</v>
      </c>
      <c r="S639" s="216">
        <f t="shared" si="334"/>
        <v>-4003638.91</v>
      </c>
      <c r="T639" s="216">
        <f t="shared" si="334"/>
        <v>13444033.789999999</v>
      </c>
      <c r="U639" s="217">
        <f t="shared" si="334"/>
        <v>0</v>
      </c>
      <c r="V639" s="215">
        <f t="shared" si="334"/>
        <v>466722.6</v>
      </c>
      <c r="W639" s="216">
        <f t="shared" si="334"/>
        <v>0</v>
      </c>
      <c r="X639" s="215">
        <f t="shared" si="334"/>
        <v>0</v>
      </c>
      <c r="Y639" s="216">
        <f t="shared" si="334"/>
        <v>0</v>
      </c>
      <c r="Z639" s="217">
        <f>Z640</f>
        <v>0</v>
      </c>
      <c r="AA639" s="216">
        <f t="shared" ref="AA639:AB639" si="336">AA640</f>
        <v>0</v>
      </c>
      <c r="AB639" s="216">
        <f t="shared" si="336"/>
        <v>0</v>
      </c>
    </row>
    <row r="640" spans="1:28" ht="25.5" x14ac:dyDescent="0.2">
      <c r="A640" s="212" t="s">
        <v>52</v>
      </c>
      <c r="B640" s="58" t="s">
        <v>118</v>
      </c>
      <c r="C640" s="58" t="s">
        <v>73</v>
      </c>
      <c r="D640" s="59" t="s">
        <v>72</v>
      </c>
      <c r="E640" s="70" t="s">
        <v>267</v>
      </c>
      <c r="F640" s="70" t="s">
        <v>135</v>
      </c>
      <c r="G640" s="66" t="s">
        <v>425</v>
      </c>
      <c r="H640" s="66" t="s">
        <v>133</v>
      </c>
      <c r="I640" s="71" t="s">
        <v>426</v>
      </c>
      <c r="J640" s="67" t="s">
        <v>137</v>
      </c>
      <c r="K640" s="372" t="s">
        <v>53</v>
      </c>
      <c r="L640" s="68"/>
      <c r="M640" s="69"/>
      <c r="N640" s="216">
        <f t="shared" si="334"/>
        <v>0</v>
      </c>
      <c r="O640" s="216">
        <f t="shared" si="334"/>
        <v>0</v>
      </c>
      <c r="P640" s="216">
        <f t="shared" si="334"/>
        <v>17447672.699999999</v>
      </c>
      <c r="Q640" s="215">
        <f t="shared" si="334"/>
        <v>466722.6</v>
      </c>
      <c r="R640" s="216">
        <f t="shared" si="334"/>
        <v>0</v>
      </c>
      <c r="S640" s="216">
        <f t="shared" si="334"/>
        <v>-4003638.91</v>
      </c>
      <c r="T640" s="216">
        <f t="shared" si="334"/>
        <v>13444033.789999999</v>
      </c>
      <c r="U640" s="217">
        <f t="shared" si="334"/>
        <v>0</v>
      </c>
      <c r="V640" s="215">
        <f t="shared" si="334"/>
        <v>466722.6</v>
      </c>
      <c r="W640" s="216">
        <f t="shared" si="334"/>
        <v>0</v>
      </c>
      <c r="X640" s="215">
        <f t="shared" si="334"/>
        <v>0</v>
      </c>
      <c r="Y640" s="216">
        <f t="shared" si="334"/>
        <v>0</v>
      </c>
      <c r="Z640" s="217">
        <f>0</f>
        <v>0</v>
      </c>
      <c r="AA640" s="216">
        <f>0</f>
        <v>0</v>
      </c>
      <c r="AB640" s="216">
        <f>0</f>
        <v>0</v>
      </c>
    </row>
    <row r="641" spans="1:28" ht="25.5" x14ac:dyDescent="0.2">
      <c r="A641" s="212" t="s">
        <v>54</v>
      </c>
      <c r="B641" s="58" t="s">
        <v>118</v>
      </c>
      <c r="C641" s="58" t="s">
        <v>73</v>
      </c>
      <c r="D641" s="59" t="s">
        <v>72</v>
      </c>
      <c r="E641" s="70" t="s">
        <v>267</v>
      </c>
      <c r="F641" s="70" t="s">
        <v>135</v>
      </c>
      <c r="G641" s="66" t="s">
        <v>425</v>
      </c>
      <c r="H641" s="66" t="s">
        <v>133</v>
      </c>
      <c r="I641" s="71" t="s">
        <v>426</v>
      </c>
      <c r="J641" s="67" t="s">
        <v>137</v>
      </c>
      <c r="K641" s="372" t="s">
        <v>55</v>
      </c>
      <c r="L641" s="68"/>
      <c r="M641" s="69"/>
      <c r="N641" s="216">
        <v>0</v>
      </c>
      <c r="O641" s="216">
        <v>0</v>
      </c>
      <c r="P641" s="216">
        <v>17447672.699999999</v>
      </c>
      <c r="Q641" s="215">
        <f>466722.6</f>
        <v>466722.6</v>
      </c>
      <c r="R641" s="216">
        <v>0</v>
      </c>
      <c r="S641" s="216">
        <f>-1626802.45-2376836.46</f>
        <v>-4003638.91</v>
      </c>
      <c r="T641" s="216">
        <f>S641+P641</f>
        <v>13444033.789999999</v>
      </c>
      <c r="U641" s="217">
        <v>0</v>
      </c>
      <c r="V641" s="215">
        <f>466722.6</f>
        <v>466722.6</v>
      </c>
      <c r="W641" s="216">
        <v>0</v>
      </c>
      <c r="X641" s="215">
        <v>0</v>
      </c>
      <c r="Y641" s="216">
        <v>0</v>
      </c>
      <c r="Z641" s="217">
        <v>0</v>
      </c>
      <c r="AA641" s="216">
        <v>0</v>
      </c>
      <c r="AB641" s="216">
        <v>0</v>
      </c>
    </row>
    <row r="642" spans="1:28" ht="38.25" customHeight="1" x14ac:dyDescent="0.2">
      <c r="A642" s="212" t="s">
        <v>335</v>
      </c>
      <c r="B642" s="58" t="s">
        <v>118</v>
      </c>
      <c r="C642" s="58" t="s">
        <v>73</v>
      </c>
      <c r="D642" s="58" t="s">
        <v>72</v>
      </c>
      <c r="E642" s="441" t="s">
        <v>334</v>
      </c>
      <c r="F642" s="71" t="s">
        <v>135</v>
      </c>
      <c r="G642" s="66" t="s">
        <v>135</v>
      </c>
      <c r="H642" s="66" t="s">
        <v>135</v>
      </c>
      <c r="I642" s="71" t="s">
        <v>136</v>
      </c>
      <c r="J642" s="67" t="s">
        <v>135</v>
      </c>
      <c r="K642" s="372"/>
      <c r="L642" s="68"/>
      <c r="M642" s="69"/>
      <c r="N642" s="216">
        <f t="shared" ref="N642:AB644" si="337">N643</f>
        <v>0</v>
      </c>
      <c r="O642" s="216">
        <f t="shared" si="337"/>
        <v>0</v>
      </c>
      <c r="P642" s="216">
        <f t="shared" si="337"/>
        <v>0</v>
      </c>
      <c r="Q642" s="215">
        <f t="shared" si="337"/>
        <v>9150692.4800000004</v>
      </c>
      <c r="R642" s="216">
        <f t="shared" si="337"/>
        <v>0</v>
      </c>
      <c r="S642" s="216">
        <f t="shared" si="337"/>
        <v>0</v>
      </c>
      <c r="T642" s="216">
        <f t="shared" si="337"/>
        <v>0</v>
      </c>
      <c r="U642" s="217">
        <f t="shared" si="337"/>
        <v>9150692.4800000004</v>
      </c>
      <c r="V642" s="216">
        <f t="shared" si="337"/>
        <v>5866041.7800000003</v>
      </c>
      <c r="W642" s="215">
        <f t="shared" si="337"/>
        <v>0</v>
      </c>
      <c r="X642" s="215">
        <f t="shared" si="337"/>
        <v>0</v>
      </c>
      <c r="Y642" s="216">
        <f t="shared" si="337"/>
        <v>9150692.4800000004</v>
      </c>
      <c r="Z642" s="217">
        <f t="shared" si="337"/>
        <v>5866041.7800000003</v>
      </c>
      <c r="AA642" s="216">
        <f t="shared" si="337"/>
        <v>0</v>
      </c>
      <c r="AB642" s="216">
        <f t="shared" si="337"/>
        <v>5866041.7800000003</v>
      </c>
    </row>
    <row r="643" spans="1:28" x14ac:dyDescent="0.2">
      <c r="A643" s="258" t="s">
        <v>337</v>
      </c>
      <c r="B643" s="58" t="s">
        <v>118</v>
      </c>
      <c r="C643" s="58" t="s">
        <v>73</v>
      </c>
      <c r="D643" s="59" t="s">
        <v>72</v>
      </c>
      <c r="E643" s="70" t="s">
        <v>334</v>
      </c>
      <c r="F643" s="70" t="s">
        <v>135</v>
      </c>
      <c r="G643" s="66" t="s">
        <v>135</v>
      </c>
      <c r="H643" s="66" t="s">
        <v>135</v>
      </c>
      <c r="I643" s="71" t="s">
        <v>336</v>
      </c>
      <c r="J643" s="67" t="s">
        <v>135</v>
      </c>
      <c r="K643" s="372"/>
      <c r="L643" s="68"/>
      <c r="M643" s="69"/>
      <c r="N643" s="216">
        <f t="shared" si="337"/>
        <v>0</v>
      </c>
      <c r="O643" s="216">
        <f t="shared" si="337"/>
        <v>0</v>
      </c>
      <c r="P643" s="216">
        <f t="shared" si="337"/>
        <v>0</v>
      </c>
      <c r="Q643" s="215">
        <f t="shared" si="337"/>
        <v>9150692.4800000004</v>
      </c>
      <c r="R643" s="216">
        <f t="shared" si="337"/>
        <v>0</v>
      </c>
      <c r="S643" s="216">
        <f t="shared" si="337"/>
        <v>0</v>
      </c>
      <c r="T643" s="216">
        <f t="shared" si="337"/>
        <v>0</v>
      </c>
      <c r="U643" s="217">
        <f t="shared" si="337"/>
        <v>9150692.4800000004</v>
      </c>
      <c r="V643" s="216">
        <f t="shared" si="337"/>
        <v>5866041.7800000003</v>
      </c>
      <c r="W643" s="215">
        <f t="shared" si="337"/>
        <v>0</v>
      </c>
      <c r="X643" s="215">
        <f t="shared" si="337"/>
        <v>0</v>
      </c>
      <c r="Y643" s="216">
        <f t="shared" si="337"/>
        <v>9150692.4800000004</v>
      </c>
      <c r="Z643" s="217">
        <f t="shared" si="337"/>
        <v>5866041.7800000003</v>
      </c>
      <c r="AA643" s="216">
        <f t="shared" si="337"/>
        <v>0</v>
      </c>
      <c r="AB643" s="216">
        <f t="shared" si="337"/>
        <v>5866041.7800000003</v>
      </c>
    </row>
    <row r="644" spans="1:28" ht="25.5" x14ac:dyDescent="0.2">
      <c r="A644" s="212" t="s">
        <v>52</v>
      </c>
      <c r="B644" s="58" t="s">
        <v>118</v>
      </c>
      <c r="C644" s="58" t="s">
        <v>73</v>
      </c>
      <c r="D644" s="59" t="s">
        <v>72</v>
      </c>
      <c r="E644" s="70" t="s">
        <v>334</v>
      </c>
      <c r="F644" s="70" t="s">
        <v>135</v>
      </c>
      <c r="G644" s="66" t="s">
        <v>135</v>
      </c>
      <c r="H644" s="66" t="s">
        <v>135</v>
      </c>
      <c r="I644" s="71" t="s">
        <v>336</v>
      </c>
      <c r="J644" s="67" t="s">
        <v>135</v>
      </c>
      <c r="K644" s="372" t="s">
        <v>53</v>
      </c>
      <c r="L644" s="68"/>
      <c r="M644" s="69"/>
      <c r="N644" s="216">
        <f t="shared" si="337"/>
        <v>0</v>
      </c>
      <c r="O644" s="216">
        <f t="shared" si="337"/>
        <v>0</v>
      </c>
      <c r="P644" s="216">
        <f t="shared" si="337"/>
        <v>0</v>
      </c>
      <c r="Q644" s="215">
        <f t="shared" si="337"/>
        <v>9150692.4800000004</v>
      </c>
      <c r="R644" s="216">
        <f t="shared" si="337"/>
        <v>0</v>
      </c>
      <c r="S644" s="216">
        <f t="shared" si="337"/>
        <v>0</v>
      </c>
      <c r="T644" s="216">
        <f t="shared" si="337"/>
        <v>0</v>
      </c>
      <c r="U644" s="217">
        <f t="shared" si="337"/>
        <v>9150692.4800000004</v>
      </c>
      <c r="V644" s="216">
        <f t="shared" si="337"/>
        <v>5866041.7800000003</v>
      </c>
      <c r="W644" s="215">
        <f t="shared" si="337"/>
        <v>0</v>
      </c>
      <c r="X644" s="215">
        <f t="shared" si="337"/>
        <v>0</v>
      </c>
      <c r="Y644" s="216">
        <f t="shared" si="337"/>
        <v>9150692.4800000004</v>
      </c>
      <c r="Z644" s="217">
        <f t="shared" si="337"/>
        <v>5866041.7800000003</v>
      </c>
      <c r="AA644" s="216">
        <f t="shared" si="337"/>
        <v>0</v>
      </c>
      <c r="AB644" s="216">
        <f t="shared" si="337"/>
        <v>5866041.7800000003</v>
      </c>
    </row>
    <row r="645" spans="1:28" ht="25.5" x14ac:dyDescent="0.2">
      <c r="A645" s="212" t="s">
        <v>54</v>
      </c>
      <c r="B645" s="58" t="s">
        <v>118</v>
      </c>
      <c r="C645" s="58" t="s">
        <v>73</v>
      </c>
      <c r="D645" s="59" t="s">
        <v>72</v>
      </c>
      <c r="E645" s="70" t="s">
        <v>334</v>
      </c>
      <c r="F645" s="70" t="s">
        <v>135</v>
      </c>
      <c r="G645" s="66" t="s">
        <v>135</v>
      </c>
      <c r="H645" s="66" t="s">
        <v>135</v>
      </c>
      <c r="I645" s="71" t="s">
        <v>336</v>
      </c>
      <c r="J645" s="67" t="s">
        <v>135</v>
      </c>
      <c r="K645" s="372" t="s">
        <v>55</v>
      </c>
      <c r="L645" s="68"/>
      <c r="M645" s="69"/>
      <c r="N645" s="216">
        <v>0</v>
      </c>
      <c r="O645" s="216">
        <v>0</v>
      </c>
      <c r="P645" s="216">
        <v>0</v>
      </c>
      <c r="Q645" s="215">
        <f>9150692.48</f>
        <v>9150692.4800000004</v>
      </c>
      <c r="R645" s="216">
        <v>0</v>
      </c>
      <c r="S645" s="216">
        <v>0</v>
      </c>
      <c r="T645" s="216">
        <v>0</v>
      </c>
      <c r="U645" s="217">
        <f>9150692.48</f>
        <v>9150692.4800000004</v>
      </c>
      <c r="V645" s="216">
        <f>5866041.78</f>
        <v>5866041.7800000003</v>
      </c>
      <c r="W645" s="215">
        <v>0</v>
      </c>
      <c r="X645" s="215">
        <v>0</v>
      </c>
      <c r="Y645" s="216">
        <f>9150692.48</f>
        <v>9150692.4800000004</v>
      </c>
      <c r="Z645" s="217">
        <f>5866041.78</f>
        <v>5866041.7800000003</v>
      </c>
      <c r="AA645" s="216">
        <v>0</v>
      </c>
      <c r="AB645" s="216">
        <f>5866041.78</f>
        <v>5866041.7800000003</v>
      </c>
    </row>
    <row r="646" spans="1:28" x14ac:dyDescent="0.2">
      <c r="A646" s="212" t="s">
        <v>208</v>
      </c>
      <c r="B646" s="58" t="s">
        <v>118</v>
      </c>
      <c r="C646" s="59" t="s">
        <v>70</v>
      </c>
      <c r="D646" s="58"/>
      <c r="E646" s="105"/>
      <c r="F646" s="70"/>
      <c r="G646" s="66"/>
      <c r="H646" s="66"/>
      <c r="I646" s="71"/>
      <c r="J646" s="67"/>
      <c r="K646" s="372"/>
      <c r="L646" s="68">
        <f t="shared" ref="L646:P650" si="338">L647</f>
        <v>5152900.67</v>
      </c>
      <c r="M646" s="69">
        <f t="shared" si="338"/>
        <v>0</v>
      </c>
      <c r="N646" s="216">
        <f t="shared" si="338"/>
        <v>956423</v>
      </c>
      <c r="O646" s="216">
        <f t="shared" si="338"/>
        <v>878564.53</v>
      </c>
      <c r="P646" s="216">
        <f t="shared" si="338"/>
        <v>1834987.53</v>
      </c>
      <c r="Q646" s="215">
        <f t="shared" ref="Q646:AB650" si="339">Q647</f>
        <v>10088105.18</v>
      </c>
      <c r="R646" s="216">
        <f t="shared" si="339"/>
        <v>0</v>
      </c>
      <c r="S646" s="216">
        <f t="shared" si="339"/>
        <v>700000</v>
      </c>
      <c r="T646" s="216">
        <f t="shared" si="339"/>
        <v>2534987.5300000003</v>
      </c>
      <c r="U646" s="217">
        <f t="shared" si="339"/>
        <v>10088105.18</v>
      </c>
      <c r="V646" s="216">
        <f t="shared" si="339"/>
        <v>12780234.560000001</v>
      </c>
      <c r="W646" s="215">
        <f t="shared" si="339"/>
        <v>0</v>
      </c>
      <c r="X646" s="215">
        <f t="shared" si="339"/>
        <v>0</v>
      </c>
      <c r="Y646" s="216">
        <f t="shared" si="339"/>
        <v>10088105.18</v>
      </c>
      <c r="Z646" s="217">
        <f t="shared" si="339"/>
        <v>12780234.560000001</v>
      </c>
      <c r="AA646" s="216">
        <f t="shared" si="339"/>
        <v>0</v>
      </c>
      <c r="AB646" s="216">
        <f t="shared" si="339"/>
        <v>12780234.560000001</v>
      </c>
    </row>
    <row r="647" spans="1:28" x14ac:dyDescent="0.2">
      <c r="A647" s="212" t="s">
        <v>207</v>
      </c>
      <c r="B647" s="58" t="s">
        <v>118</v>
      </c>
      <c r="C647" s="59" t="s">
        <v>70</v>
      </c>
      <c r="D647" s="58" t="s">
        <v>73</v>
      </c>
      <c r="E647" s="105"/>
      <c r="F647" s="70"/>
      <c r="G647" s="66"/>
      <c r="H647" s="66"/>
      <c r="I647" s="71"/>
      <c r="J647" s="67"/>
      <c r="K647" s="372"/>
      <c r="L647" s="68">
        <f t="shared" si="338"/>
        <v>5152900.67</v>
      </c>
      <c r="M647" s="69">
        <f t="shared" si="338"/>
        <v>0</v>
      </c>
      <c r="N647" s="216">
        <f t="shared" si="338"/>
        <v>956423</v>
      </c>
      <c r="O647" s="216">
        <f t="shared" si="338"/>
        <v>878564.53</v>
      </c>
      <c r="P647" s="216">
        <f t="shared" si="338"/>
        <v>1834987.53</v>
      </c>
      <c r="Q647" s="215">
        <f t="shared" si="339"/>
        <v>10088105.18</v>
      </c>
      <c r="R647" s="216">
        <f t="shared" si="339"/>
        <v>0</v>
      </c>
      <c r="S647" s="216">
        <f t="shared" si="339"/>
        <v>700000</v>
      </c>
      <c r="T647" s="216">
        <f t="shared" si="339"/>
        <v>2534987.5300000003</v>
      </c>
      <c r="U647" s="217">
        <f t="shared" si="339"/>
        <v>10088105.18</v>
      </c>
      <c r="V647" s="216">
        <f t="shared" si="339"/>
        <v>12780234.560000001</v>
      </c>
      <c r="W647" s="215">
        <f t="shared" si="339"/>
        <v>0</v>
      </c>
      <c r="X647" s="215">
        <f t="shared" si="339"/>
        <v>0</v>
      </c>
      <c r="Y647" s="216">
        <f t="shared" si="339"/>
        <v>10088105.18</v>
      </c>
      <c r="Z647" s="217">
        <f t="shared" si="339"/>
        <v>12780234.560000001</v>
      </c>
      <c r="AA647" s="216">
        <f t="shared" si="339"/>
        <v>0</v>
      </c>
      <c r="AB647" s="216">
        <f t="shared" si="339"/>
        <v>12780234.560000001</v>
      </c>
    </row>
    <row r="648" spans="1:28" ht="25.5" x14ac:dyDescent="0.2">
      <c r="A648" s="212" t="s">
        <v>333</v>
      </c>
      <c r="B648" s="58" t="s">
        <v>118</v>
      </c>
      <c r="C648" s="59" t="s">
        <v>70</v>
      </c>
      <c r="D648" s="58" t="s">
        <v>73</v>
      </c>
      <c r="E648" s="314" t="s">
        <v>120</v>
      </c>
      <c r="F648" s="73" t="s">
        <v>135</v>
      </c>
      <c r="G648" s="72" t="s">
        <v>135</v>
      </c>
      <c r="H648" s="72" t="s">
        <v>135</v>
      </c>
      <c r="I648" s="74" t="s">
        <v>136</v>
      </c>
      <c r="J648" s="67" t="s">
        <v>135</v>
      </c>
      <c r="K648" s="372"/>
      <c r="L648" s="68">
        <f t="shared" si="338"/>
        <v>5152900.67</v>
      </c>
      <c r="M648" s="69">
        <f t="shared" si="338"/>
        <v>0</v>
      </c>
      <c r="N648" s="216">
        <f>N649</f>
        <v>956423</v>
      </c>
      <c r="O648" s="216">
        <f>O649</f>
        <v>878564.53</v>
      </c>
      <c r="P648" s="216">
        <f>P649</f>
        <v>1834987.53</v>
      </c>
      <c r="Q648" s="215">
        <f t="shared" si="339"/>
        <v>10088105.18</v>
      </c>
      <c r="R648" s="216">
        <f t="shared" si="339"/>
        <v>0</v>
      </c>
      <c r="S648" s="216">
        <f>S649</f>
        <v>700000</v>
      </c>
      <c r="T648" s="216">
        <f>T649</f>
        <v>2534987.5300000003</v>
      </c>
      <c r="U648" s="217">
        <f t="shared" si="339"/>
        <v>10088105.18</v>
      </c>
      <c r="V648" s="216">
        <f t="shared" si="339"/>
        <v>12780234.560000001</v>
      </c>
      <c r="W648" s="215">
        <f t="shared" si="339"/>
        <v>0</v>
      </c>
      <c r="X648" s="215">
        <f t="shared" si="339"/>
        <v>0</v>
      </c>
      <c r="Y648" s="216">
        <f t="shared" si="339"/>
        <v>10088105.18</v>
      </c>
      <c r="Z648" s="217">
        <f t="shared" si="339"/>
        <v>12780234.560000001</v>
      </c>
      <c r="AA648" s="216">
        <f t="shared" si="339"/>
        <v>0</v>
      </c>
      <c r="AB648" s="216">
        <f t="shared" si="339"/>
        <v>12780234.560000001</v>
      </c>
    </row>
    <row r="649" spans="1:28" ht="17.25" customHeight="1" x14ac:dyDescent="0.2">
      <c r="A649" s="325" t="s">
        <v>213</v>
      </c>
      <c r="B649" s="58" t="s">
        <v>118</v>
      </c>
      <c r="C649" s="59" t="s">
        <v>70</v>
      </c>
      <c r="D649" s="58" t="s">
        <v>73</v>
      </c>
      <c r="E649" s="314" t="s">
        <v>120</v>
      </c>
      <c r="F649" s="73" t="s">
        <v>135</v>
      </c>
      <c r="G649" s="72" t="s">
        <v>135</v>
      </c>
      <c r="H649" s="72" t="s">
        <v>135</v>
      </c>
      <c r="I649" s="74" t="s">
        <v>212</v>
      </c>
      <c r="J649" s="67" t="s">
        <v>135</v>
      </c>
      <c r="K649" s="372"/>
      <c r="L649" s="68">
        <f t="shared" si="338"/>
        <v>5152900.67</v>
      </c>
      <c r="M649" s="69">
        <f t="shared" si="338"/>
        <v>0</v>
      </c>
      <c r="N649" s="216">
        <f t="shared" si="338"/>
        <v>956423</v>
      </c>
      <c r="O649" s="216">
        <f t="shared" si="338"/>
        <v>878564.53</v>
      </c>
      <c r="P649" s="216">
        <f t="shared" si="338"/>
        <v>1834987.53</v>
      </c>
      <c r="Q649" s="215">
        <f t="shared" si="339"/>
        <v>10088105.18</v>
      </c>
      <c r="R649" s="216">
        <f t="shared" si="339"/>
        <v>0</v>
      </c>
      <c r="S649" s="216">
        <f t="shared" si="339"/>
        <v>700000</v>
      </c>
      <c r="T649" s="216">
        <f t="shared" si="339"/>
        <v>2534987.5300000003</v>
      </c>
      <c r="U649" s="217">
        <f t="shared" si="339"/>
        <v>10088105.18</v>
      </c>
      <c r="V649" s="216">
        <f t="shared" si="339"/>
        <v>12780234.560000001</v>
      </c>
      <c r="W649" s="215">
        <f t="shared" si="339"/>
        <v>0</v>
      </c>
      <c r="X649" s="215">
        <f t="shared" si="339"/>
        <v>0</v>
      </c>
      <c r="Y649" s="216">
        <f t="shared" si="339"/>
        <v>10088105.18</v>
      </c>
      <c r="Z649" s="217">
        <f t="shared" si="339"/>
        <v>12780234.560000001</v>
      </c>
      <c r="AA649" s="216">
        <f t="shared" si="339"/>
        <v>0</v>
      </c>
      <c r="AB649" s="216">
        <f t="shared" si="339"/>
        <v>12780234.560000001</v>
      </c>
    </row>
    <row r="650" spans="1:28" ht="25.5" x14ac:dyDescent="0.2">
      <c r="A650" s="258" t="s">
        <v>126</v>
      </c>
      <c r="B650" s="58" t="s">
        <v>118</v>
      </c>
      <c r="C650" s="59" t="s">
        <v>70</v>
      </c>
      <c r="D650" s="58" t="s">
        <v>73</v>
      </c>
      <c r="E650" s="314" t="s">
        <v>120</v>
      </c>
      <c r="F650" s="73" t="s">
        <v>135</v>
      </c>
      <c r="G650" s="72" t="s">
        <v>135</v>
      </c>
      <c r="H650" s="72" t="s">
        <v>135</v>
      </c>
      <c r="I650" s="74" t="s">
        <v>212</v>
      </c>
      <c r="J650" s="67" t="s">
        <v>135</v>
      </c>
      <c r="K650" s="372" t="s">
        <v>53</v>
      </c>
      <c r="L650" s="68">
        <f t="shared" si="338"/>
        <v>5152900.67</v>
      </c>
      <c r="M650" s="69">
        <f t="shared" si="338"/>
        <v>0</v>
      </c>
      <c r="N650" s="216">
        <f t="shared" si="338"/>
        <v>956423</v>
      </c>
      <c r="O650" s="216">
        <f t="shared" si="338"/>
        <v>878564.53</v>
      </c>
      <c r="P650" s="216">
        <f t="shared" si="338"/>
        <v>1834987.53</v>
      </c>
      <c r="Q650" s="215">
        <f t="shared" si="339"/>
        <v>10088105.18</v>
      </c>
      <c r="R650" s="216">
        <f t="shared" si="339"/>
        <v>0</v>
      </c>
      <c r="S650" s="216">
        <f t="shared" si="339"/>
        <v>700000</v>
      </c>
      <c r="T650" s="216">
        <f t="shared" si="339"/>
        <v>2534987.5300000003</v>
      </c>
      <c r="U650" s="217">
        <f t="shared" si="339"/>
        <v>10088105.18</v>
      </c>
      <c r="V650" s="216">
        <f t="shared" si="339"/>
        <v>12780234.560000001</v>
      </c>
      <c r="W650" s="215">
        <f t="shared" si="339"/>
        <v>0</v>
      </c>
      <c r="X650" s="215">
        <f t="shared" si="339"/>
        <v>0</v>
      </c>
      <c r="Y650" s="216">
        <f t="shared" si="339"/>
        <v>10088105.18</v>
      </c>
      <c r="Z650" s="217">
        <f t="shared" si="339"/>
        <v>12780234.560000001</v>
      </c>
      <c r="AA650" s="216">
        <f t="shared" si="339"/>
        <v>0</v>
      </c>
      <c r="AB650" s="216">
        <f t="shared" si="339"/>
        <v>12780234.560000001</v>
      </c>
    </row>
    <row r="651" spans="1:28" ht="25.5" x14ac:dyDescent="0.2">
      <c r="A651" s="258" t="s">
        <v>54</v>
      </c>
      <c r="B651" s="58" t="s">
        <v>118</v>
      </c>
      <c r="C651" s="59" t="s">
        <v>70</v>
      </c>
      <c r="D651" s="58" t="s">
        <v>73</v>
      </c>
      <c r="E651" s="314" t="s">
        <v>120</v>
      </c>
      <c r="F651" s="73" t="s">
        <v>135</v>
      </c>
      <c r="G651" s="72" t="s">
        <v>135</v>
      </c>
      <c r="H651" s="72" t="s">
        <v>135</v>
      </c>
      <c r="I651" s="74" t="s">
        <v>212</v>
      </c>
      <c r="J651" s="67" t="s">
        <v>135</v>
      </c>
      <c r="K651" s="372" t="s">
        <v>55</v>
      </c>
      <c r="L651" s="68">
        <v>5152900.67</v>
      </c>
      <c r="M651" s="69">
        <v>0</v>
      </c>
      <c r="N651" s="216">
        <v>956423</v>
      </c>
      <c r="O651" s="216">
        <v>878564.53</v>
      </c>
      <c r="P651" s="216">
        <f>O651+N651</f>
        <v>1834987.53</v>
      </c>
      <c r="Q651" s="215">
        <f>1010423+2463833.55+1798063.8+4815784.83</f>
        <v>10088105.18</v>
      </c>
      <c r="R651" s="216">
        <v>0</v>
      </c>
      <c r="S651" s="216">
        <v>700000</v>
      </c>
      <c r="T651" s="216">
        <f>S651+P651</f>
        <v>2534987.5300000003</v>
      </c>
      <c r="U651" s="217">
        <f>1010423+2463833.55+1798063.8+4815784.83</f>
        <v>10088105.18</v>
      </c>
      <c r="V651" s="216">
        <f>1010423+3580771.4+2939834.7+5249205.46</f>
        <v>12780234.560000001</v>
      </c>
      <c r="W651" s="215">
        <v>0</v>
      </c>
      <c r="X651" s="215">
        <v>0</v>
      </c>
      <c r="Y651" s="216">
        <f>1010423+2463833.55+1798063.8+4815784.83</f>
        <v>10088105.18</v>
      </c>
      <c r="Z651" s="217">
        <f>1010423+3580771.4+2939834.7+5249205.46</f>
        <v>12780234.560000001</v>
      </c>
      <c r="AA651" s="216">
        <v>0</v>
      </c>
      <c r="AB651" s="216">
        <f>1010423+3580771.4+2939834.7+5249205.46</f>
        <v>12780234.560000001</v>
      </c>
    </row>
    <row r="652" spans="1:28" ht="9" customHeight="1" x14ac:dyDescent="0.2">
      <c r="A652" s="231"/>
      <c r="B652" s="128"/>
      <c r="C652" s="127"/>
      <c r="D652" s="388"/>
      <c r="E652" s="106"/>
      <c r="F652" s="107"/>
      <c r="G652" s="88"/>
      <c r="H652" s="88"/>
      <c r="I652" s="89"/>
      <c r="J652" s="90"/>
      <c r="K652" s="298"/>
      <c r="L652" s="91"/>
      <c r="M652" s="92"/>
      <c r="N652" s="327"/>
      <c r="O652" s="327"/>
      <c r="P652" s="327"/>
      <c r="Q652" s="326"/>
      <c r="R652" s="327"/>
      <c r="S652" s="327"/>
      <c r="T652" s="327"/>
      <c r="U652" s="328"/>
      <c r="V652" s="327"/>
      <c r="W652" s="326"/>
      <c r="X652" s="326"/>
      <c r="Y652" s="327"/>
      <c r="Z652" s="328"/>
      <c r="AA652" s="327"/>
      <c r="AB652" s="327"/>
    </row>
    <row r="653" spans="1:28" s="100" customFormat="1" ht="25.5" x14ac:dyDescent="0.2">
      <c r="A653" s="402" t="s">
        <v>322</v>
      </c>
      <c r="B653" s="58" t="s">
        <v>119</v>
      </c>
      <c r="C653" s="135"/>
      <c r="D653" s="58"/>
      <c r="E653" s="140"/>
      <c r="F653" s="136"/>
      <c r="G653" s="97"/>
      <c r="H653" s="97"/>
      <c r="I653" s="136"/>
      <c r="J653" s="137"/>
      <c r="K653" s="417"/>
      <c r="L653" s="98" t="e">
        <f t="shared" ref="L653:Z653" si="340">L654+L711+L686+L673</f>
        <v>#REF!</v>
      </c>
      <c r="M653" s="99" t="e">
        <f t="shared" si="340"/>
        <v>#REF!</v>
      </c>
      <c r="N653" s="426">
        <f t="shared" si="340"/>
        <v>219877373.15000001</v>
      </c>
      <c r="O653" s="426">
        <f t="shared" si="340"/>
        <v>815268.86</v>
      </c>
      <c r="P653" s="426">
        <f t="shared" si="340"/>
        <v>263266507.13</v>
      </c>
      <c r="Q653" s="472">
        <f t="shared" si="340"/>
        <v>239549582.36000001</v>
      </c>
      <c r="R653" s="426">
        <f t="shared" si="340"/>
        <v>-70786.55</v>
      </c>
      <c r="S653" s="426">
        <f>S654+S711+S686+S673</f>
        <v>-10854428.949999999</v>
      </c>
      <c r="T653" s="426">
        <f>T654+T711+T686+T673</f>
        <v>252412078.18000001</v>
      </c>
      <c r="U653" s="480">
        <f t="shared" si="340"/>
        <v>233278795.81000003</v>
      </c>
      <c r="V653" s="426">
        <f t="shared" si="340"/>
        <v>225523108.63000003</v>
      </c>
      <c r="W653" s="472">
        <f t="shared" si="340"/>
        <v>-33268.559999999998</v>
      </c>
      <c r="X653" s="472">
        <f>X654+X711+X686+X673</f>
        <v>-5108475.05</v>
      </c>
      <c r="Y653" s="426">
        <f>Y654+Y711+Y686+Y673</f>
        <v>233450320.76000002</v>
      </c>
      <c r="Z653" s="480">
        <f t="shared" si="340"/>
        <v>223789840.07000002</v>
      </c>
      <c r="AA653" s="426">
        <f>AA654+AA711+AA686+AA673</f>
        <v>-2603475.0499999998</v>
      </c>
      <c r="AB653" s="426">
        <f>AB654+AB711+AB686+AB673</f>
        <v>221186365.02000001</v>
      </c>
    </row>
    <row r="654" spans="1:28" s="100" customFormat="1" hidden="1" x14ac:dyDescent="0.2">
      <c r="A654" s="400" t="s">
        <v>84</v>
      </c>
      <c r="B654" s="58" t="s">
        <v>119</v>
      </c>
      <c r="C654" s="78" t="s">
        <v>69</v>
      </c>
      <c r="D654" s="131"/>
      <c r="E654" s="131"/>
      <c r="F654" s="132"/>
      <c r="G654" s="66"/>
      <c r="H654" s="66"/>
      <c r="I654" s="132"/>
      <c r="J654" s="133"/>
      <c r="K654" s="417"/>
      <c r="L654" s="141" t="e">
        <f t="shared" ref="L654:AB655" si="341">L655</f>
        <v>#REF!</v>
      </c>
      <c r="M654" s="142" t="e">
        <f t="shared" si="341"/>
        <v>#REF!</v>
      </c>
      <c r="N654" s="345">
        <f t="shared" si="341"/>
        <v>2171224.5699999998</v>
      </c>
      <c r="O654" s="345">
        <f t="shared" si="341"/>
        <v>720000</v>
      </c>
      <c r="P654" s="345">
        <f t="shared" si="341"/>
        <v>16369978.57</v>
      </c>
      <c r="Q654" s="475">
        <f t="shared" si="341"/>
        <v>5108475.05</v>
      </c>
      <c r="R654" s="345">
        <f t="shared" si="341"/>
        <v>0</v>
      </c>
      <c r="S654" s="345">
        <f t="shared" si="341"/>
        <v>-16369978.57</v>
      </c>
      <c r="T654" s="345">
        <f t="shared" si="341"/>
        <v>0</v>
      </c>
      <c r="U654" s="482">
        <f t="shared" si="341"/>
        <v>5108475.05</v>
      </c>
      <c r="V654" s="345">
        <f t="shared" si="341"/>
        <v>2603475.0499999998</v>
      </c>
      <c r="W654" s="475">
        <f t="shared" si="341"/>
        <v>0</v>
      </c>
      <c r="X654" s="475">
        <f t="shared" si="341"/>
        <v>-5108475.05</v>
      </c>
      <c r="Y654" s="345">
        <f t="shared" si="341"/>
        <v>0</v>
      </c>
      <c r="Z654" s="482">
        <f t="shared" si="341"/>
        <v>2603475.0499999998</v>
      </c>
      <c r="AA654" s="345">
        <f t="shared" si="341"/>
        <v>-2603475.0499999998</v>
      </c>
      <c r="AB654" s="345">
        <f t="shared" si="341"/>
        <v>0</v>
      </c>
    </row>
    <row r="655" spans="1:28" s="100" customFormat="1" ht="17.25" hidden="1" customHeight="1" x14ac:dyDescent="0.2">
      <c r="A655" s="207" t="s">
        <v>98</v>
      </c>
      <c r="B655" s="58" t="s">
        <v>119</v>
      </c>
      <c r="C655" s="59" t="s">
        <v>69</v>
      </c>
      <c r="D655" s="58" t="s">
        <v>120</v>
      </c>
      <c r="E655" s="131"/>
      <c r="F655" s="132"/>
      <c r="G655" s="66"/>
      <c r="H655" s="66"/>
      <c r="I655" s="132"/>
      <c r="J655" s="133"/>
      <c r="K655" s="417"/>
      <c r="L655" s="141" t="e">
        <f t="shared" si="341"/>
        <v>#REF!</v>
      </c>
      <c r="M655" s="142" t="e">
        <f t="shared" si="341"/>
        <v>#REF!</v>
      </c>
      <c r="N655" s="345">
        <f t="shared" si="341"/>
        <v>2171224.5699999998</v>
      </c>
      <c r="O655" s="345">
        <f t="shared" si="341"/>
        <v>720000</v>
      </c>
      <c r="P655" s="345">
        <f t="shared" si="341"/>
        <v>16369978.57</v>
      </c>
      <c r="Q655" s="475">
        <f t="shared" si="341"/>
        <v>5108475.05</v>
      </c>
      <c r="R655" s="345">
        <f t="shared" si="341"/>
        <v>0</v>
      </c>
      <c r="S655" s="345">
        <f t="shared" si="341"/>
        <v>-16369978.57</v>
      </c>
      <c r="T655" s="345">
        <f t="shared" si="341"/>
        <v>0</v>
      </c>
      <c r="U655" s="482">
        <f t="shared" si="341"/>
        <v>5108475.05</v>
      </c>
      <c r="V655" s="345">
        <f t="shared" si="341"/>
        <v>2603475.0499999998</v>
      </c>
      <c r="W655" s="475">
        <f t="shared" si="341"/>
        <v>0</v>
      </c>
      <c r="X655" s="475">
        <f t="shared" si="341"/>
        <v>-5108475.05</v>
      </c>
      <c r="Y655" s="345">
        <f t="shared" si="341"/>
        <v>0</v>
      </c>
      <c r="Z655" s="482">
        <f t="shared" si="341"/>
        <v>2603475.0499999998</v>
      </c>
      <c r="AA655" s="345">
        <f t="shared" si="341"/>
        <v>-2603475.0499999998</v>
      </c>
      <c r="AB655" s="345">
        <f t="shared" si="341"/>
        <v>0</v>
      </c>
    </row>
    <row r="656" spans="1:28" ht="56.25" hidden="1" customHeight="1" x14ac:dyDescent="0.2">
      <c r="A656" s="226" t="s">
        <v>356</v>
      </c>
      <c r="B656" s="58" t="s">
        <v>119</v>
      </c>
      <c r="C656" s="59" t="s">
        <v>69</v>
      </c>
      <c r="D656" s="58" t="s">
        <v>120</v>
      </c>
      <c r="E656" s="104" t="s">
        <v>72</v>
      </c>
      <c r="F656" s="81" t="s">
        <v>135</v>
      </c>
      <c r="G656" s="66" t="s">
        <v>135</v>
      </c>
      <c r="H656" s="66" t="s">
        <v>135</v>
      </c>
      <c r="I656" s="81" t="s">
        <v>136</v>
      </c>
      <c r="J656" s="67" t="s">
        <v>135</v>
      </c>
      <c r="K656" s="292"/>
      <c r="L656" s="68" t="e">
        <f>#REF!+L667+L657</f>
        <v>#REF!</v>
      </c>
      <c r="M656" s="69" t="e">
        <f>#REF!+M667+M657</f>
        <v>#REF!</v>
      </c>
      <c r="N656" s="216">
        <f t="shared" ref="N656:Z656" si="342">N667+N657+N670+N664</f>
        <v>2171224.5699999998</v>
      </c>
      <c r="O656" s="216">
        <f t="shared" si="342"/>
        <v>720000</v>
      </c>
      <c r="P656" s="216">
        <f t="shared" si="342"/>
        <v>16369978.57</v>
      </c>
      <c r="Q656" s="215">
        <f t="shared" si="342"/>
        <v>5108475.05</v>
      </c>
      <c r="R656" s="216">
        <f t="shared" si="342"/>
        <v>0</v>
      </c>
      <c r="S656" s="216">
        <f>S667+S657+S670+S664</f>
        <v>-16369978.57</v>
      </c>
      <c r="T656" s="216">
        <f>T667+T657+T670+T664</f>
        <v>0</v>
      </c>
      <c r="U656" s="217">
        <f t="shared" si="342"/>
        <v>5108475.05</v>
      </c>
      <c r="V656" s="216">
        <f t="shared" si="342"/>
        <v>2603475.0499999998</v>
      </c>
      <c r="W656" s="215">
        <f t="shared" si="342"/>
        <v>0</v>
      </c>
      <c r="X656" s="215">
        <f>X667+X657+X670+X664</f>
        <v>-5108475.05</v>
      </c>
      <c r="Y656" s="216">
        <f>Y667+Y657+Y670+Y664</f>
        <v>0</v>
      </c>
      <c r="Z656" s="217">
        <f t="shared" si="342"/>
        <v>2603475.0499999998</v>
      </c>
      <c r="AA656" s="216">
        <f>AA667+AA657+AA670+AA664</f>
        <v>-2603475.0499999998</v>
      </c>
      <c r="AB656" s="216">
        <f>AB667+AB657+AB670+AB664</f>
        <v>0</v>
      </c>
    </row>
    <row r="657" spans="1:28" ht="25.5" hidden="1" customHeight="1" x14ac:dyDescent="0.2">
      <c r="A657" s="258" t="s">
        <v>355</v>
      </c>
      <c r="B657" s="58" t="s">
        <v>119</v>
      </c>
      <c r="C657" s="59" t="s">
        <v>69</v>
      </c>
      <c r="D657" s="58" t="s">
        <v>120</v>
      </c>
      <c r="E657" s="77" t="s">
        <v>72</v>
      </c>
      <c r="F657" s="79" t="s">
        <v>135</v>
      </c>
      <c r="G657" s="66" t="s">
        <v>135</v>
      </c>
      <c r="H657" s="66" t="s">
        <v>135</v>
      </c>
      <c r="I657" s="79" t="s">
        <v>198</v>
      </c>
      <c r="J657" s="67" t="s">
        <v>135</v>
      </c>
      <c r="K657" s="372"/>
      <c r="L657" s="64">
        <f t="shared" ref="L657:Z657" si="343">L658+L660+L662</f>
        <v>568735.80000000005</v>
      </c>
      <c r="M657" s="65">
        <f t="shared" si="343"/>
        <v>0</v>
      </c>
      <c r="N657" s="224">
        <f t="shared" si="343"/>
        <v>0</v>
      </c>
      <c r="O657" s="224">
        <f t="shared" si="343"/>
        <v>0</v>
      </c>
      <c r="P657" s="224">
        <f t="shared" si="343"/>
        <v>0</v>
      </c>
      <c r="Q657" s="223">
        <f t="shared" si="343"/>
        <v>325000</v>
      </c>
      <c r="R657" s="224">
        <f t="shared" si="343"/>
        <v>0</v>
      </c>
      <c r="S657" s="224">
        <f>S658+S660+S662</f>
        <v>0</v>
      </c>
      <c r="T657" s="224">
        <f>T658+T660+T662</f>
        <v>0</v>
      </c>
      <c r="U657" s="225">
        <f t="shared" si="343"/>
        <v>325000</v>
      </c>
      <c r="V657" s="224">
        <f t="shared" si="343"/>
        <v>410000</v>
      </c>
      <c r="W657" s="223">
        <f t="shared" si="343"/>
        <v>0</v>
      </c>
      <c r="X657" s="223">
        <f>X658+X660+X662</f>
        <v>-325000</v>
      </c>
      <c r="Y657" s="224">
        <f>Y658+Y660+Y662</f>
        <v>0</v>
      </c>
      <c r="Z657" s="225">
        <f t="shared" si="343"/>
        <v>410000</v>
      </c>
      <c r="AA657" s="224">
        <f>AA658+AA660+AA662</f>
        <v>-410000</v>
      </c>
      <c r="AB657" s="224">
        <f>AB658+AB660+AB662</f>
        <v>0</v>
      </c>
    </row>
    <row r="658" spans="1:28" ht="61.5" hidden="1" customHeight="1" x14ac:dyDescent="0.2">
      <c r="A658" s="212" t="s">
        <v>67</v>
      </c>
      <c r="B658" s="58" t="s">
        <v>119</v>
      </c>
      <c r="C658" s="59" t="s">
        <v>69</v>
      </c>
      <c r="D658" s="58" t="s">
        <v>120</v>
      </c>
      <c r="E658" s="77" t="s">
        <v>72</v>
      </c>
      <c r="F658" s="79" t="s">
        <v>135</v>
      </c>
      <c r="G658" s="66" t="s">
        <v>135</v>
      </c>
      <c r="H658" s="66" t="s">
        <v>135</v>
      </c>
      <c r="I658" s="79" t="s">
        <v>198</v>
      </c>
      <c r="J658" s="67" t="s">
        <v>135</v>
      </c>
      <c r="K658" s="372" t="s">
        <v>60</v>
      </c>
      <c r="L658" s="64">
        <f t="shared" ref="L658:AB658" si="344">L659</f>
        <v>30000</v>
      </c>
      <c r="M658" s="65">
        <f t="shared" si="344"/>
        <v>0</v>
      </c>
      <c r="N658" s="224">
        <f t="shared" si="344"/>
        <v>0</v>
      </c>
      <c r="O658" s="224">
        <f t="shared" si="344"/>
        <v>0</v>
      </c>
      <c r="P658" s="224">
        <f t="shared" si="344"/>
        <v>0</v>
      </c>
      <c r="Q658" s="223">
        <f t="shared" si="344"/>
        <v>30000</v>
      </c>
      <c r="R658" s="224">
        <f t="shared" si="344"/>
        <v>0</v>
      </c>
      <c r="S658" s="224">
        <f t="shared" si="344"/>
        <v>0</v>
      </c>
      <c r="T658" s="224">
        <f t="shared" si="344"/>
        <v>0</v>
      </c>
      <c r="U658" s="225">
        <f t="shared" si="344"/>
        <v>30000</v>
      </c>
      <c r="V658" s="224">
        <f t="shared" si="344"/>
        <v>30000</v>
      </c>
      <c r="W658" s="223">
        <f t="shared" si="344"/>
        <v>0</v>
      </c>
      <c r="X658" s="223">
        <f t="shared" si="344"/>
        <v>-30000</v>
      </c>
      <c r="Y658" s="224">
        <f t="shared" si="344"/>
        <v>0</v>
      </c>
      <c r="Z658" s="225">
        <f t="shared" si="344"/>
        <v>30000</v>
      </c>
      <c r="AA658" s="224">
        <f t="shared" si="344"/>
        <v>-30000</v>
      </c>
      <c r="AB658" s="224">
        <f t="shared" si="344"/>
        <v>0</v>
      </c>
    </row>
    <row r="659" spans="1:28" ht="24" hidden="1" customHeight="1" x14ac:dyDescent="0.2">
      <c r="A659" s="212" t="s">
        <v>61</v>
      </c>
      <c r="B659" s="58" t="s">
        <v>119</v>
      </c>
      <c r="C659" s="59" t="s">
        <v>69</v>
      </c>
      <c r="D659" s="58" t="s">
        <v>120</v>
      </c>
      <c r="E659" s="77" t="s">
        <v>72</v>
      </c>
      <c r="F659" s="79" t="s">
        <v>135</v>
      </c>
      <c r="G659" s="66" t="s">
        <v>135</v>
      </c>
      <c r="H659" s="66" t="s">
        <v>135</v>
      </c>
      <c r="I659" s="79" t="s">
        <v>198</v>
      </c>
      <c r="J659" s="67" t="s">
        <v>135</v>
      </c>
      <c r="K659" s="372" t="s">
        <v>171</v>
      </c>
      <c r="L659" s="64">
        <v>30000</v>
      </c>
      <c r="M659" s="65">
        <v>0</v>
      </c>
      <c r="N659" s="224">
        <v>0</v>
      </c>
      <c r="O659" s="224">
        <v>0</v>
      </c>
      <c r="P659" s="224">
        <v>0</v>
      </c>
      <c r="Q659" s="223">
        <v>30000</v>
      </c>
      <c r="R659" s="224">
        <v>0</v>
      </c>
      <c r="S659" s="224">
        <v>0</v>
      </c>
      <c r="T659" s="224">
        <v>0</v>
      </c>
      <c r="U659" s="225">
        <v>30000</v>
      </c>
      <c r="V659" s="224">
        <v>30000</v>
      </c>
      <c r="W659" s="223">
        <v>0</v>
      </c>
      <c r="X659" s="223">
        <v>-30000</v>
      </c>
      <c r="Y659" s="224">
        <f>X659+U659</f>
        <v>0</v>
      </c>
      <c r="Z659" s="225">
        <v>30000</v>
      </c>
      <c r="AA659" s="224">
        <v>-30000</v>
      </c>
      <c r="AB659" s="224">
        <f>AA659+Z659</f>
        <v>0</v>
      </c>
    </row>
    <row r="660" spans="1:28" ht="35.25" hidden="1" customHeight="1" x14ac:dyDescent="0.2">
      <c r="A660" s="212" t="s">
        <v>52</v>
      </c>
      <c r="B660" s="58" t="s">
        <v>119</v>
      </c>
      <c r="C660" s="59" t="s">
        <v>69</v>
      </c>
      <c r="D660" s="58" t="s">
        <v>120</v>
      </c>
      <c r="E660" s="77" t="s">
        <v>72</v>
      </c>
      <c r="F660" s="79" t="s">
        <v>135</v>
      </c>
      <c r="G660" s="66" t="s">
        <v>135</v>
      </c>
      <c r="H660" s="66" t="s">
        <v>135</v>
      </c>
      <c r="I660" s="79" t="s">
        <v>198</v>
      </c>
      <c r="J660" s="67" t="s">
        <v>135</v>
      </c>
      <c r="K660" s="372" t="s">
        <v>53</v>
      </c>
      <c r="L660" s="64">
        <f t="shared" ref="L660:AB660" si="345">L661</f>
        <v>40000</v>
      </c>
      <c r="M660" s="65">
        <f t="shared" si="345"/>
        <v>0</v>
      </c>
      <c r="N660" s="224">
        <f t="shared" si="345"/>
        <v>0</v>
      </c>
      <c r="O660" s="224">
        <f t="shared" si="345"/>
        <v>0</v>
      </c>
      <c r="P660" s="224">
        <f t="shared" si="345"/>
        <v>0</v>
      </c>
      <c r="Q660" s="223">
        <f t="shared" si="345"/>
        <v>295000</v>
      </c>
      <c r="R660" s="224">
        <f t="shared" si="345"/>
        <v>0</v>
      </c>
      <c r="S660" s="224">
        <f t="shared" si="345"/>
        <v>0</v>
      </c>
      <c r="T660" s="224">
        <f t="shared" si="345"/>
        <v>0</v>
      </c>
      <c r="U660" s="225">
        <f t="shared" si="345"/>
        <v>295000</v>
      </c>
      <c r="V660" s="224">
        <f t="shared" si="345"/>
        <v>380000</v>
      </c>
      <c r="W660" s="223">
        <f t="shared" si="345"/>
        <v>0</v>
      </c>
      <c r="X660" s="223">
        <f t="shared" si="345"/>
        <v>-295000</v>
      </c>
      <c r="Y660" s="224">
        <f t="shared" si="345"/>
        <v>0</v>
      </c>
      <c r="Z660" s="225">
        <f t="shared" si="345"/>
        <v>380000</v>
      </c>
      <c r="AA660" s="224">
        <f t="shared" si="345"/>
        <v>-380000</v>
      </c>
      <c r="AB660" s="224">
        <f t="shared" si="345"/>
        <v>0</v>
      </c>
    </row>
    <row r="661" spans="1:28" ht="35.25" hidden="1" customHeight="1" x14ac:dyDescent="0.2">
      <c r="A661" s="212" t="s">
        <v>54</v>
      </c>
      <c r="B661" s="58" t="s">
        <v>119</v>
      </c>
      <c r="C661" s="59" t="s">
        <v>69</v>
      </c>
      <c r="D661" s="58" t="s">
        <v>120</v>
      </c>
      <c r="E661" s="77" t="s">
        <v>72</v>
      </c>
      <c r="F661" s="79" t="s">
        <v>135</v>
      </c>
      <c r="G661" s="66" t="s">
        <v>135</v>
      </c>
      <c r="H661" s="66" t="s">
        <v>135</v>
      </c>
      <c r="I661" s="79" t="s">
        <v>198</v>
      </c>
      <c r="J661" s="67" t="s">
        <v>135</v>
      </c>
      <c r="K661" s="372" t="s">
        <v>55</v>
      </c>
      <c r="L661" s="64">
        <v>40000</v>
      </c>
      <c r="M661" s="65">
        <v>0</v>
      </c>
      <c r="N661" s="224">
        <v>0</v>
      </c>
      <c r="O661" s="224">
        <v>0</v>
      </c>
      <c r="P661" s="224">
        <v>0</v>
      </c>
      <c r="Q661" s="223">
        <v>295000</v>
      </c>
      <c r="R661" s="224">
        <v>0</v>
      </c>
      <c r="S661" s="224">
        <v>0</v>
      </c>
      <c r="T661" s="224">
        <v>0</v>
      </c>
      <c r="U661" s="225">
        <v>295000</v>
      </c>
      <c r="V661" s="224">
        <v>380000</v>
      </c>
      <c r="W661" s="223">
        <v>0</v>
      </c>
      <c r="X661" s="223">
        <v>-295000</v>
      </c>
      <c r="Y661" s="224">
        <f>X661+U661</f>
        <v>0</v>
      </c>
      <c r="Z661" s="225">
        <v>380000</v>
      </c>
      <c r="AA661" s="224">
        <v>-380000</v>
      </c>
      <c r="AB661" s="224">
        <f>AA661+Z661</f>
        <v>0</v>
      </c>
    </row>
    <row r="662" spans="1:28" ht="35.25" hidden="1" customHeight="1" x14ac:dyDescent="0.2">
      <c r="A662" s="212" t="s">
        <v>101</v>
      </c>
      <c r="B662" s="58" t="s">
        <v>119</v>
      </c>
      <c r="C662" s="59" t="s">
        <v>69</v>
      </c>
      <c r="D662" s="58" t="s">
        <v>120</v>
      </c>
      <c r="E662" s="77" t="s">
        <v>72</v>
      </c>
      <c r="F662" s="79" t="s">
        <v>135</v>
      </c>
      <c r="G662" s="66" t="s">
        <v>135</v>
      </c>
      <c r="H662" s="66" t="s">
        <v>135</v>
      </c>
      <c r="I662" s="79" t="s">
        <v>198</v>
      </c>
      <c r="J662" s="67" t="s">
        <v>135</v>
      </c>
      <c r="K662" s="372" t="s">
        <v>114</v>
      </c>
      <c r="L662" s="64">
        <f t="shared" ref="L662:AB662" si="346">L663</f>
        <v>498735.8</v>
      </c>
      <c r="M662" s="65">
        <f t="shared" si="346"/>
        <v>0</v>
      </c>
      <c r="N662" s="224">
        <f t="shared" si="346"/>
        <v>0</v>
      </c>
      <c r="O662" s="224">
        <f t="shared" si="346"/>
        <v>0</v>
      </c>
      <c r="P662" s="224">
        <f t="shared" si="346"/>
        <v>0</v>
      </c>
      <c r="Q662" s="223">
        <f t="shared" si="346"/>
        <v>0</v>
      </c>
      <c r="R662" s="224">
        <f t="shared" si="346"/>
        <v>0</v>
      </c>
      <c r="S662" s="224">
        <f t="shared" si="346"/>
        <v>0</v>
      </c>
      <c r="T662" s="224">
        <f t="shared" si="346"/>
        <v>0</v>
      </c>
      <c r="U662" s="225">
        <f t="shared" si="346"/>
        <v>0</v>
      </c>
      <c r="V662" s="224">
        <f t="shared" si="346"/>
        <v>0</v>
      </c>
      <c r="W662" s="223">
        <f t="shared" si="346"/>
        <v>0</v>
      </c>
      <c r="X662" s="223">
        <f t="shared" si="346"/>
        <v>0</v>
      </c>
      <c r="Y662" s="224">
        <f t="shared" si="346"/>
        <v>0</v>
      </c>
      <c r="Z662" s="225">
        <f t="shared" si="346"/>
        <v>0</v>
      </c>
      <c r="AA662" s="224">
        <f t="shared" si="346"/>
        <v>0</v>
      </c>
      <c r="AB662" s="224">
        <f t="shared" si="346"/>
        <v>0</v>
      </c>
    </row>
    <row r="663" spans="1:28" ht="35.25" hidden="1" customHeight="1" x14ac:dyDescent="0.2">
      <c r="A663" s="212" t="s">
        <v>115</v>
      </c>
      <c r="B663" s="58" t="s">
        <v>119</v>
      </c>
      <c r="C663" s="59" t="s">
        <v>69</v>
      </c>
      <c r="D663" s="58" t="s">
        <v>120</v>
      </c>
      <c r="E663" s="77" t="s">
        <v>72</v>
      </c>
      <c r="F663" s="79" t="s">
        <v>135</v>
      </c>
      <c r="G663" s="66" t="s">
        <v>135</v>
      </c>
      <c r="H663" s="66" t="s">
        <v>135</v>
      </c>
      <c r="I663" s="79" t="s">
        <v>198</v>
      </c>
      <c r="J663" s="67" t="s">
        <v>135</v>
      </c>
      <c r="K663" s="372" t="s">
        <v>142</v>
      </c>
      <c r="L663" s="64">
        <v>498735.8</v>
      </c>
      <c r="M663" s="65">
        <v>0</v>
      </c>
      <c r="N663" s="224">
        <v>0</v>
      </c>
      <c r="O663" s="224">
        <v>0</v>
      </c>
      <c r="P663" s="224">
        <v>0</v>
      </c>
      <c r="Q663" s="223">
        <v>0</v>
      </c>
      <c r="R663" s="224">
        <v>0</v>
      </c>
      <c r="S663" s="224">
        <v>0</v>
      </c>
      <c r="T663" s="224">
        <v>0</v>
      </c>
      <c r="U663" s="225">
        <v>0</v>
      </c>
      <c r="V663" s="224">
        <v>0</v>
      </c>
      <c r="W663" s="223">
        <v>0</v>
      </c>
      <c r="X663" s="223">
        <v>0</v>
      </c>
      <c r="Y663" s="224">
        <v>0</v>
      </c>
      <c r="Z663" s="225">
        <v>0</v>
      </c>
      <c r="AA663" s="224">
        <v>0</v>
      </c>
      <c r="AB663" s="224">
        <v>0</v>
      </c>
    </row>
    <row r="664" spans="1:28" ht="56.25" hidden="1" customHeight="1" x14ac:dyDescent="0.2">
      <c r="A664" s="212" t="s">
        <v>373</v>
      </c>
      <c r="B664" s="58" t="s">
        <v>119</v>
      </c>
      <c r="C664" s="59" t="s">
        <v>69</v>
      </c>
      <c r="D664" s="58" t="s">
        <v>120</v>
      </c>
      <c r="E664" s="58" t="s">
        <v>72</v>
      </c>
      <c r="F664" s="60" t="s">
        <v>135</v>
      </c>
      <c r="G664" s="66" t="s">
        <v>135</v>
      </c>
      <c r="H664" s="66" t="s">
        <v>135</v>
      </c>
      <c r="I664" s="66" t="s">
        <v>182</v>
      </c>
      <c r="J664" s="76" t="s">
        <v>135</v>
      </c>
      <c r="K664" s="408"/>
      <c r="L664" s="68">
        <f t="shared" ref="L664:AB665" si="347">L665</f>
        <v>35000</v>
      </c>
      <c r="M664" s="69">
        <f t="shared" si="347"/>
        <v>0</v>
      </c>
      <c r="N664" s="216">
        <f t="shared" si="347"/>
        <v>0</v>
      </c>
      <c r="O664" s="216">
        <f t="shared" si="347"/>
        <v>20000</v>
      </c>
      <c r="P664" s="216">
        <f t="shared" si="347"/>
        <v>20000</v>
      </c>
      <c r="Q664" s="215">
        <f t="shared" si="347"/>
        <v>50000</v>
      </c>
      <c r="R664" s="216">
        <f t="shared" si="347"/>
        <v>0</v>
      </c>
      <c r="S664" s="216">
        <f t="shared" si="347"/>
        <v>-20000</v>
      </c>
      <c r="T664" s="216">
        <f t="shared" si="347"/>
        <v>0</v>
      </c>
      <c r="U664" s="217">
        <f t="shared" si="347"/>
        <v>50000</v>
      </c>
      <c r="V664" s="216">
        <f t="shared" si="347"/>
        <v>60000</v>
      </c>
      <c r="W664" s="215">
        <f t="shared" si="347"/>
        <v>0</v>
      </c>
      <c r="X664" s="215">
        <f t="shared" si="347"/>
        <v>-50000</v>
      </c>
      <c r="Y664" s="216">
        <f t="shared" si="347"/>
        <v>0</v>
      </c>
      <c r="Z664" s="217">
        <f t="shared" si="347"/>
        <v>60000</v>
      </c>
      <c r="AA664" s="216">
        <f t="shared" si="347"/>
        <v>-60000</v>
      </c>
      <c r="AB664" s="216">
        <f t="shared" si="347"/>
        <v>0</v>
      </c>
    </row>
    <row r="665" spans="1:28" ht="29.25" hidden="1" customHeight="1" x14ac:dyDescent="0.2">
      <c r="A665" s="212" t="s">
        <v>21</v>
      </c>
      <c r="B665" s="58" t="s">
        <v>119</v>
      </c>
      <c r="C665" s="59" t="s">
        <v>69</v>
      </c>
      <c r="D665" s="58" t="s">
        <v>120</v>
      </c>
      <c r="E665" s="58" t="s">
        <v>72</v>
      </c>
      <c r="F665" s="60" t="s">
        <v>135</v>
      </c>
      <c r="G665" s="66" t="s">
        <v>135</v>
      </c>
      <c r="H665" s="66" t="s">
        <v>135</v>
      </c>
      <c r="I665" s="66" t="s">
        <v>182</v>
      </c>
      <c r="J665" s="76" t="s">
        <v>135</v>
      </c>
      <c r="K665" s="372" t="s">
        <v>149</v>
      </c>
      <c r="L665" s="68">
        <f t="shared" si="347"/>
        <v>35000</v>
      </c>
      <c r="M665" s="69">
        <f t="shared" si="347"/>
        <v>0</v>
      </c>
      <c r="N665" s="216">
        <f t="shared" si="347"/>
        <v>0</v>
      </c>
      <c r="O665" s="216">
        <f t="shared" si="347"/>
        <v>20000</v>
      </c>
      <c r="P665" s="216">
        <f t="shared" si="347"/>
        <v>20000</v>
      </c>
      <c r="Q665" s="215">
        <f t="shared" si="347"/>
        <v>50000</v>
      </c>
      <c r="R665" s="216">
        <f t="shared" si="347"/>
        <v>0</v>
      </c>
      <c r="S665" s="216">
        <f t="shared" si="347"/>
        <v>-20000</v>
      </c>
      <c r="T665" s="216">
        <f t="shared" si="347"/>
        <v>0</v>
      </c>
      <c r="U665" s="217">
        <f t="shared" si="347"/>
        <v>50000</v>
      </c>
      <c r="V665" s="216">
        <f t="shared" si="347"/>
        <v>60000</v>
      </c>
      <c r="W665" s="215">
        <f t="shared" si="347"/>
        <v>0</v>
      </c>
      <c r="X665" s="215">
        <f t="shared" si="347"/>
        <v>-50000</v>
      </c>
      <c r="Y665" s="216">
        <f t="shared" si="347"/>
        <v>0</v>
      </c>
      <c r="Z665" s="217">
        <f t="shared" si="347"/>
        <v>60000</v>
      </c>
      <c r="AA665" s="216">
        <f t="shared" si="347"/>
        <v>-60000</v>
      </c>
      <c r="AB665" s="216">
        <f t="shared" si="347"/>
        <v>0</v>
      </c>
    </row>
    <row r="666" spans="1:28" ht="46.5" hidden="1" customHeight="1" x14ac:dyDescent="0.2">
      <c r="A666" s="259" t="s">
        <v>209</v>
      </c>
      <c r="B666" s="58" t="s">
        <v>119</v>
      </c>
      <c r="C666" s="59" t="s">
        <v>69</v>
      </c>
      <c r="D666" s="58" t="s">
        <v>120</v>
      </c>
      <c r="E666" s="58" t="s">
        <v>72</v>
      </c>
      <c r="F666" s="60" t="s">
        <v>135</v>
      </c>
      <c r="G666" s="66" t="s">
        <v>135</v>
      </c>
      <c r="H666" s="66" t="s">
        <v>135</v>
      </c>
      <c r="I666" s="66" t="s">
        <v>182</v>
      </c>
      <c r="J666" s="76" t="s">
        <v>135</v>
      </c>
      <c r="K666" s="372" t="s">
        <v>156</v>
      </c>
      <c r="L666" s="68">
        <v>35000</v>
      </c>
      <c r="M666" s="69">
        <v>0</v>
      </c>
      <c r="N666" s="216">
        <v>0</v>
      </c>
      <c r="O666" s="216">
        <v>20000</v>
      </c>
      <c r="P666" s="216">
        <f>O666</f>
        <v>20000</v>
      </c>
      <c r="Q666" s="215">
        <v>50000</v>
      </c>
      <c r="R666" s="216">
        <v>0</v>
      </c>
      <c r="S666" s="216">
        <v>-20000</v>
      </c>
      <c r="T666" s="216">
        <f>S666+P666</f>
        <v>0</v>
      </c>
      <c r="U666" s="217">
        <v>50000</v>
      </c>
      <c r="V666" s="216">
        <v>60000</v>
      </c>
      <c r="W666" s="215">
        <v>0</v>
      </c>
      <c r="X666" s="215">
        <v>-50000</v>
      </c>
      <c r="Y666" s="216">
        <f>X666+U666</f>
        <v>0</v>
      </c>
      <c r="Z666" s="217">
        <v>60000</v>
      </c>
      <c r="AA666" s="216">
        <v>-60000</v>
      </c>
      <c r="AB666" s="216">
        <f>AA666+Z666</f>
        <v>0</v>
      </c>
    </row>
    <row r="667" spans="1:28" s="100" customFormat="1" ht="60" hidden="1" customHeight="1" x14ac:dyDescent="0.2">
      <c r="A667" s="207" t="s">
        <v>302</v>
      </c>
      <c r="B667" s="58" t="s">
        <v>119</v>
      </c>
      <c r="C667" s="59" t="s">
        <v>69</v>
      </c>
      <c r="D667" s="58" t="s">
        <v>120</v>
      </c>
      <c r="E667" s="58" t="s">
        <v>72</v>
      </c>
      <c r="F667" s="60" t="s">
        <v>135</v>
      </c>
      <c r="G667" s="66" t="s">
        <v>135</v>
      </c>
      <c r="H667" s="66" t="s">
        <v>135</v>
      </c>
      <c r="I667" s="66" t="s">
        <v>301</v>
      </c>
      <c r="J667" s="76" t="s">
        <v>135</v>
      </c>
      <c r="K667" s="408"/>
      <c r="L667" s="68">
        <f t="shared" ref="L667:AB668" si="348">L668</f>
        <v>35000</v>
      </c>
      <c r="M667" s="69">
        <f t="shared" si="348"/>
        <v>0</v>
      </c>
      <c r="N667" s="216">
        <f t="shared" si="348"/>
        <v>2171224.5699999998</v>
      </c>
      <c r="O667" s="216">
        <f t="shared" si="348"/>
        <v>0</v>
      </c>
      <c r="P667" s="216">
        <f t="shared" si="348"/>
        <v>2171224.5699999998</v>
      </c>
      <c r="Q667" s="215">
        <f t="shared" si="348"/>
        <v>2133475.0499999998</v>
      </c>
      <c r="R667" s="216">
        <f t="shared" si="348"/>
        <v>0</v>
      </c>
      <c r="S667" s="216">
        <f t="shared" si="348"/>
        <v>-2171224.5699999998</v>
      </c>
      <c r="T667" s="216">
        <f t="shared" si="348"/>
        <v>0</v>
      </c>
      <c r="U667" s="217">
        <f t="shared" si="348"/>
        <v>2133475.0499999998</v>
      </c>
      <c r="V667" s="216">
        <f t="shared" si="348"/>
        <v>2133475.0499999998</v>
      </c>
      <c r="W667" s="215">
        <f t="shared" si="348"/>
        <v>0</v>
      </c>
      <c r="X667" s="215">
        <f t="shared" si="348"/>
        <v>-2133475.0499999998</v>
      </c>
      <c r="Y667" s="216">
        <f t="shared" si="348"/>
        <v>0</v>
      </c>
      <c r="Z667" s="217">
        <f t="shared" si="348"/>
        <v>2133475.0499999998</v>
      </c>
      <c r="AA667" s="216">
        <f t="shared" si="348"/>
        <v>-2133475.0499999998</v>
      </c>
      <c r="AB667" s="216">
        <f t="shared" si="348"/>
        <v>0</v>
      </c>
    </row>
    <row r="668" spans="1:28" s="100" customFormat="1" ht="25.5" hidden="1" x14ac:dyDescent="0.2">
      <c r="A668" s="212" t="s">
        <v>52</v>
      </c>
      <c r="B668" s="58" t="s">
        <v>119</v>
      </c>
      <c r="C668" s="59" t="s">
        <v>69</v>
      </c>
      <c r="D668" s="58" t="s">
        <v>120</v>
      </c>
      <c r="E668" s="58" t="s">
        <v>72</v>
      </c>
      <c r="F668" s="60" t="s">
        <v>135</v>
      </c>
      <c r="G668" s="66" t="s">
        <v>135</v>
      </c>
      <c r="H668" s="66" t="s">
        <v>135</v>
      </c>
      <c r="I668" s="66" t="s">
        <v>301</v>
      </c>
      <c r="J668" s="76" t="s">
        <v>135</v>
      </c>
      <c r="K668" s="372" t="s">
        <v>53</v>
      </c>
      <c r="L668" s="68">
        <f t="shared" si="348"/>
        <v>35000</v>
      </c>
      <c r="M668" s="69">
        <f t="shared" si="348"/>
        <v>0</v>
      </c>
      <c r="N668" s="216">
        <f t="shared" si="348"/>
        <v>2171224.5699999998</v>
      </c>
      <c r="O668" s="216">
        <f t="shared" si="348"/>
        <v>0</v>
      </c>
      <c r="P668" s="216">
        <f t="shared" si="348"/>
        <v>2171224.5699999998</v>
      </c>
      <c r="Q668" s="215">
        <f t="shared" si="348"/>
        <v>2133475.0499999998</v>
      </c>
      <c r="R668" s="216">
        <f t="shared" si="348"/>
        <v>0</v>
      </c>
      <c r="S668" s="216">
        <f t="shared" si="348"/>
        <v>-2171224.5699999998</v>
      </c>
      <c r="T668" s="216">
        <f t="shared" si="348"/>
        <v>0</v>
      </c>
      <c r="U668" s="217">
        <f t="shared" si="348"/>
        <v>2133475.0499999998</v>
      </c>
      <c r="V668" s="216">
        <f t="shared" si="348"/>
        <v>2133475.0499999998</v>
      </c>
      <c r="W668" s="215">
        <f t="shared" si="348"/>
        <v>0</v>
      </c>
      <c r="X668" s="215">
        <f t="shared" si="348"/>
        <v>-2133475.0499999998</v>
      </c>
      <c r="Y668" s="216">
        <f t="shared" si="348"/>
        <v>0</v>
      </c>
      <c r="Z668" s="217">
        <f t="shared" si="348"/>
        <v>2133475.0499999998</v>
      </c>
      <c r="AA668" s="216">
        <f t="shared" si="348"/>
        <v>-2133475.0499999998</v>
      </c>
      <c r="AB668" s="216">
        <f t="shared" si="348"/>
        <v>0</v>
      </c>
    </row>
    <row r="669" spans="1:28" s="100" customFormat="1" ht="25.5" hidden="1" x14ac:dyDescent="0.2">
      <c r="A669" s="212" t="s">
        <v>54</v>
      </c>
      <c r="B669" s="58" t="s">
        <v>119</v>
      </c>
      <c r="C669" s="59" t="s">
        <v>69</v>
      </c>
      <c r="D669" s="58" t="s">
        <v>120</v>
      </c>
      <c r="E669" s="58" t="s">
        <v>72</v>
      </c>
      <c r="F669" s="60" t="s">
        <v>135</v>
      </c>
      <c r="G669" s="66" t="s">
        <v>135</v>
      </c>
      <c r="H669" s="66" t="s">
        <v>135</v>
      </c>
      <c r="I669" s="66" t="s">
        <v>301</v>
      </c>
      <c r="J669" s="76" t="s">
        <v>135</v>
      </c>
      <c r="K669" s="372" t="s">
        <v>55</v>
      </c>
      <c r="L669" s="68">
        <v>35000</v>
      </c>
      <c r="M669" s="69">
        <v>0</v>
      </c>
      <c r="N669" s="216">
        <f>1628418.43+542806.14</f>
        <v>2171224.5699999998</v>
      </c>
      <c r="O669" s="216">
        <v>0</v>
      </c>
      <c r="P669" s="216">
        <f>1628418.43+542806.14</f>
        <v>2171224.5699999998</v>
      </c>
      <c r="Q669" s="215">
        <f>1600075.05+533400</f>
        <v>2133475.0499999998</v>
      </c>
      <c r="R669" s="216">
        <v>0</v>
      </c>
      <c r="S669" s="216">
        <v>-2171224.5699999998</v>
      </c>
      <c r="T669" s="216">
        <f>S669+P669</f>
        <v>0</v>
      </c>
      <c r="U669" s="217">
        <f>1600075.05+533400</f>
        <v>2133475.0499999998</v>
      </c>
      <c r="V669" s="216">
        <f>1600075.05+533400</f>
        <v>2133475.0499999998</v>
      </c>
      <c r="W669" s="215">
        <v>0</v>
      </c>
      <c r="X669" s="215">
        <v>-2133475.0499999998</v>
      </c>
      <c r="Y669" s="216">
        <f>X669+U669</f>
        <v>0</v>
      </c>
      <c r="Z669" s="217">
        <f>1600075.05+533400</f>
        <v>2133475.0499999998</v>
      </c>
      <c r="AA669" s="216">
        <v>-2133475.0499999998</v>
      </c>
      <c r="AB669" s="216">
        <f>AA669+Z669</f>
        <v>0</v>
      </c>
    </row>
    <row r="670" spans="1:28" s="100" customFormat="1" ht="51" hidden="1" x14ac:dyDescent="0.2">
      <c r="A670" s="212" t="s">
        <v>358</v>
      </c>
      <c r="B670" s="58" t="s">
        <v>119</v>
      </c>
      <c r="C670" s="59" t="s">
        <v>69</v>
      </c>
      <c r="D670" s="58" t="s">
        <v>120</v>
      </c>
      <c r="E670" s="58" t="s">
        <v>72</v>
      </c>
      <c r="F670" s="60" t="s">
        <v>135</v>
      </c>
      <c r="G670" s="66" t="s">
        <v>135</v>
      </c>
      <c r="H670" s="66" t="s">
        <v>135</v>
      </c>
      <c r="I670" s="66" t="s">
        <v>357</v>
      </c>
      <c r="J670" s="76" t="s">
        <v>135</v>
      </c>
      <c r="K670" s="408"/>
      <c r="L670" s="68"/>
      <c r="M670" s="69"/>
      <c r="N670" s="216">
        <f t="shared" ref="N670:AB671" si="349">N671</f>
        <v>0</v>
      </c>
      <c r="O670" s="216">
        <f t="shared" si="349"/>
        <v>700000</v>
      </c>
      <c r="P670" s="216">
        <f t="shared" si="349"/>
        <v>14178754</v>
      </c>
      <c r="Q670" s="215">
        <f t="shared" si="349"/>
        <v>2600000</v>
      </c>
      <c r="R670" s="216">
        <f t="shared" si="349"/>
        <v>0</v>
      </c>
      <c r="S670" s="216">
        <f t="shared" si="349"/>
        <v>-14178754</v>
      </c>
      <c r="T670" s="216">
        <f t="shared" si="349"/>
        <v>0</v>
      </c>
      <c r="U670" s="217">
        <f t="shared" si="349"/>
        <v>2600000</v>
      </c>
      <c r="V670" s="216">
        <f t="shared" si="349"/>
        <v>0</v>
      </c>
      <c r="W670" s="215">
        <f t="shared" si="349"/>
        <v>0</v>
      </c>
      <c r="X670" s="215">
        <f t="shared" si="349"/>
        <v>-2600000</v>
      </c>
      <c r="Y670" s="216">
        <f t="shared" si="349"/>
        <v>0</v>
      </c>
      <c r="Z670" s="217">
        <f t="shared" si="349"/>
        <v>0</v>
      </c>
      <c r="AA670" s="216">
        <f t="shared" si="349"/>
        <v>0</v>
      </c>
      <c r="AB670" s="216">
        <f t="shared" si="349"/>
        <v>0</v>
      </c>
    </row>
    <row r="671" spans="1:28" s="100" customFormat="1" ht="25.5" hidden="1" x14ac:dyDescent="0.2">
      <c r="A671" s="212" t="s">
        <v>52</v>
      </c>
      <c r="B671" s="58" t="s">
        <v>119</v>
      </c>
      <c r="C671" s="59" t="s">
        <v>69</v>
      </c>
      <c r="D671" s="58" t="s">
        <v>120</v>
      </c>
      <c r="E671" s="58" t="s">
        <v>72</v>
      </c>
      <c r="F671" s="60" t="s">
        <v>135</v>
      </c>
      <c r="G671" s="66" t="s">
        <v>135</v>
      </c>
      <c r="H671" s="66" t="s">
        <v>135</v>
      </c>
      <c r="I671" s="66" t="s">
        <v>357</v>
      </c>
      <c r="J671" s="76" t="s">
        <v>135</v>
      </c>
      <c r="K671" s="372" t="s">
        <v>53</v>
      </c>
      <c r="L671" s="68"/>
      <c r="M671" s="69"/>
      <c r="N671" s="216">
        <f t="shared" si="349"/>
        <v>0</v>
      </c>
      <c r="O671" s="216">
        <f t="shared" si="349"/>
        <v>700000</v>
      </c>
      <c r="P671" s="216">
        <f t="shared" si="349"/>
        <v>14178754</v>
      </c>
      <c r="Q671" s="215">
        <f t="shared" si="349"/>
        <v>2600000</v>
      </c>
      <c r="R671" s="216">
        <f t="shared" si="349"/>
        <v>0</v>
      </c>
      <c r="S671" s="216">
        <f t="shared" si="349"/>
        <v>-14178754</v>
      </c>
      <c r="T671" s="216">
        <f t="shared" si="349"/>
        <v>0</v>
      </c>
      <c r="U671" s="217">
        <f t="shared" si="349"/>
        <v>2600000</v>
      </c>
      <c r="V671" s="216">
        <f t="shared" si="349"/>
        <v>0</v>
      </c>
      <c r="W671" s="215">
        <f t="shared" si="349"/>
        <v>0</v>
      </c>
      <c r="X671" s="215">
        <f t="shared" si="349"/>
        <v>-2600000</v>
      </c>
      <c r="Y671" s="216">
        <f t="shared" si="349"/>
        <v>0</v>
      </c>
      <c r="Z671" s="217">
        <f t="shared" si="349"/>
        <v>0</v>
      </c>
      <c r="AA671" s="216">
        <f t="shared" si="349"/>
        <v>0</v>
      </c>
      <c r="AB671" s="216">
        <f t="shared" si="349"/>
        <v>0</v>
      </c>
    </row>
    <row r="672" spans="1:28" s="100" customFormat="1" ht="25.5" hidden="1" x14ac:dyDescent="0.2">
      <c r="A672" s="212" t="s">
        <v>54</v>
      </c>
      <c r="B672" s="58" t="s">
        <v>119</v>
      </c>
      <c r="C672" s="59" t="s">
        <v>69</v>
      </c>
      <c r="D672" s="58" t="s">
        <v>120</v>
      </c>
      <c r="E672" s="58" t="s">
        <v>72</v>
      </c>
      <c r="F672" s="60" t="s">
        <v>135</v>
      </c>
      <c r="G672" s="66" t="s">
        <v>135</v>
      </c>
      <c r="H672" s="66" t="s">
        <v>135</v>
      </c>
      <c r="I672" s="66" t="s">
        <v>357</v>
      </c>
      <c r="J672" s="76" t="s">
        <v>135</v>
      </c>
      <c r="K672" s="372" t="s">
        <v>55</v>
      </c>
      <c r="L672" s="68"/>
      <c r="M672" s="69"/>
      <c r="N672" s="216">
        <v>0</v>
      </c>
      <c r="O672" s="216">
        <v>700000</v>
      </c>
      <c r="P672" s="216">
        <v>14178754</v>
      </c>
      <c r="Q672" s="215">
        <v>2600000</v>
      </c>
      <c r="R672" s="216">
        <v>0</v>
      </c>
      <c r="S672" s="216">
        <v>-14178754</v>
      </c>
      <c r="T672" s="216">
        <f>S672+P672</f>
        <v>0</v>
      </c>
      <c r="U672" s="217">
        <v>2600000</v>
      </c>
      <c r="V672" s="216">
        <v>0</v>
      </c>
      <c r="W672" s="215">
        <v>0</v>
      </c>
      <c r="X672" s="215">
        <v>-2600000</v>
      </c>
      <c r="Y672" s="216">
        <f>X672+U672</f>
        <v>0</v>
      </c>
      <c r="Z672" s="217">
        <v>0</v>
      </c>
      <c r="AA672" s="216">
        <v>0</v>
      </c>
      <c r="AB672" s="216">
        <v>0</v>
      </c>
    </row>
    <row r="673" spans="1:28" s="100" customFormat="1" x14ac:dyDescent="0.2">
      <c r="A673" s="207" t="s">
        <v>87</v>
      </c>
      <c r="B673" s="58" t="s">
        <v>119</v>
      </c>
      <c r="C673" s="59" t="s">
        <v>71</v>
      </c>
      <c r="D673" s="58"/>
      <c r="E673" s="77"/>
      <c r="F673" s="79"/>
      <c r="G673" s="66"/>
      <c r="H673" s="66"/>
      <c r="I673" s="79"/>
      <c r="J673" s="67"/>
      <c r="K673" s="372"/>
      <c r="L673" s="64" t="e">
        <f>L674</f>
        <v>#REF!</v>
      </c>
      <c r="M673" s="65" t="e">
        <f>M674</f>
        <v>#REF!</v>
      </c>
      <c r="N673" s="224">
        <f t="shared" ref="N673:P676" si="350">N674</f>
        <v>0</v>
      </c>
      <c r="O673" s="224">
        <f t="shared" si="350"/>
        <v>0</v>
      </c>
      <c r="P673" s="224">
        <f t="shared" si="350"/>
        <v>5280000</v>
      </c>
      <c r="Q673" s="223">
        <f t="shared" ref="Q673:AB674" si="351">Q674</f>
        <v>2240000</v>
      </c>
      <c r="R673" s="224">
        <f t="shared" si="351"/>
        <v>0</v>
      </c>
      <c r="S673" s="224">
        <f t="shared" si="351"/>
        <v>0</v>
      </c>
      <c r="T673" s="224">
        <f t="shared" si="351"/>
        <v>5280000</v>
      </c>
      <c r="U673" s="225">
        <f t="shared" si="351"/>
        <v>1120000</v>
      </c>
      <c r="V673" s="224">
        <f t="shared" si="351"/>
        <v>440000</v>
      </c>
      <c r="W673" s="223">
        <f t="shared" si="351"/>
        <v>0</v>
      </c>
      <c r="X673" s="223">
        <f t="shared" si="351"/>
        <v>0</v>
      </c>
      <c r="Y673" s="224">
        <f t="shared" si="351"/>
        <v>6400000</v>
      </c>
      <c r="Z673" s="225">
        <f t="shared" si="351"/>
        <v>220000</v>
      </c>
      <c r="AA673" s="224">
        <f t="shared" si="351"/>
        <v>0</v>
      </c>
      <c r="AB673" s="224">
        <f t="shared" si="351"/>
        <v>220000</v>
      </c>
    </row>
    <row r="674" spans="1:28" s="100" customFormat="1" x14ac:dyDescent="0.2">
      <c r="A674" s="207" t="s">
        <v>94</v>
      </c>
      <c r="B674" s="58" t="s">
        <v>119</v>
      </c>
      <c r="C674" s="59" t="s">
        <v>71</v>
      </c>
      <c r="D674" s="58" t="s">
        <v>100</v>
      </c>
      <c r="E674" s="77"/>
      <c r="F674" s="79"/>
      <c r="G674" s="66"/>
      <c r="H674" s="66"/>
      <c r="I674" s="79"/>
      <c r="J674" s="67"/>
      <c r="K674" s="372"/>
      <c r="L674" s="64" t="e">
        <f>L675</f>
        <v>#REF!</v>
      </c>
      <c r="M674" s="65" t="e">
        <f>M675</f>
        <v>#REF!</v>
      </c>
      <c r="N674" s="224">
        <f t="shared" si="350"/>
        <v>0</v>
      </c>
      <c r="O674" s="224">
        <f t="shared" si="350"/>
        <v>0</v>
      </c>
      <c r="P674" s="224">
        <f t="shared" si="350"/>
        <v>5280000</v>
      </c>
      <c r="Q674" s="223">
        <f t="shared" si="351"/>
        <v>2240000</v>
      </c>
      <c r="R674" s="224">
        <f t="shared" si="351"/>
        <v>0</v>
      </c>
      <c r="S674" s="224">
        <f t="shared" si="351"/>
        <v>0</v>
      </c>
      <c r="T674" s="224">
        <f t="shared" si="351"/>
        <v>5280000</v>
      </c>
      <c r="U674" s="225">
        <f t="shared" si="351"/>
        <v>1120000</v>
      </c>
      <c r="V674" s="224">
        <f t="shared" si="351"/>
        <v>440000</v>
      </c>
      <c r="W674" s="223">
        <f t="shared" si="351"/>
        <v>0</v>
      </c>
      <c r="X674" s="223">
        <f t="shared" si="351"/>
        <v>0</v>
      </c>
      <c r="Y674" s="224">
        <f t="shared" si="351"/>
        <v>6400000</v>
      </c>
      <c r="Z674" s="225">
        <f t="shared" si="351"/>
        <v>220000</v>
      </c>
      <c r="AA674" s="224">
        <f t="shared" si="351"/>
        <v>0</v>
      </c>
      <c r="AB674" s="224">
        <f t="shared" si="351"/>
        <v>220000</v>
      </c>
    </row>
    <row r="675" spans="1:28" s="100" customFormat="1" ht="25.5" x14ac:dyDescent="0.2">
      <c r="A675" s="212" t="s">
        <v>345</v>
      </c>
      <c r="B675" s="58" t="s">
        <v>119</v>
      </c>
      <c r="C675" s="59" t="s">
        <v>71</v>
      </c>
      <c r="D675" s="58" t="s">
        <v>100</v>
      </c>
      <c r="E675" s="77" t="s">
        <v>344</v>
      </c>
      <c r="F675" s="79" t="s">
        <v>135</v>
      </c>
      <c r="G675" s="66" t="s">
        <v>135</v>
      </c>
      <c r="H675" s="66" t="s">
        <v>135</v>
      </c>
      <c r="I675" s="79" t="s">
        <v>136</v>
      </c>
      <c r="J675" s="67" t="s">
        <v>135</v>
      </c>
      <c r="K675" s="372"/>
      <c r="L675" s="64" t="e">
        <f>#REF!</f>
        <v>#REF!</v>
      </c>
      <c r="M675" s="65" t="e">
        <f>#REF!</f>
        <v>#REF!</v>
      </c>
      <c r="N675" s="224">
        <f t="shared" si="350"/>
        <v>0</v>
      </c>
      <c r="O675" s="224">
        <f t="shared" si="350"/>
        <v>0</v>
      </c>
      <c r="P675" s="224">
        <f>P676+P681</f>
        <v>5280000</v>
      </c>
      <c r="Q675" s="224">
        <f t="shared" ref="Q675:AB675" si="352">Q676+Q681</f>
        <v>2240000</v>
      </c>
      <c r="R675" s="224">
        <f t="shared" si="352"/>
        <v>0</v>
      </c>
      <c r="S675" s="224">
        <f t="shared" si="352"/>
        <v>0</v>
      </c>
      <c r="T675" s="224">
        <f t="shared" si="352"/>
        <v>5280000</v>
      </c>
      <c r="U675" s="225">
        <f t="shared" si="352"/>
        <v>1120000</v>
      </c>
      <c r="V675" s="224">
        <f t="shared" si="352"/>
        <v>440000</v>
      </c>
      <c r="W675" s="224">
        <f t="shared" si="352"/>
        <v>0</v>
      </c>
      <c r="X675" s="223">
        <f t="shared" si="352"/>
        <v>0</v>
      </c>
      <c r="Y675" s="224">
        <f t="shared" si="352"/>
        <v>6400000</v>
      </c>
      <c r="Z675" s="225">
        <f t="shared" si="352"/>
        <v>220000</v>
      </c>
      <c r="AA675" s="224">
        <f t="shared" si="352"/>
        <v>0</v>
      </c>
      <c r="AB675" s="224">
        <f t="shared" si="352"/>
        <v>220000</v>
      </c>
    </row>
    <row r="676" spans="1:28" s="100" customFormat="1" ht="21.75" customHeight="1" x14ac:dyDescent="0.2">
      <c r="A676" s="212" t="s">
        <v>177</v>
      </c>
      <c r="B676" s="58" t="s">
        <v>119</v>
      </c>
      <c r="C676" s="59" t="s">
        <v>71</v>
      </c>
      <c r="D676" s="58" t="s">
        <v>100</v>
      </c>
      <c r="E676" s="77" t="s">
        <v>344</v>
      </c>
      <c r="F676" s="79" t="s">
        <v>135</v>
      </c>
      <c r="G676" s="66" t="s">
        <v>135</v>
      </c>
      <c r="H676" s="66" t="s">
        <v>135</v>
      </c>
      <c r="I676" s="79" t="s">
        <v>12</v>
      </c>
      <c r="J676" s="67" t="s">
        <v>135</v>
      </c>
      <c r="K676" s="372"/>
      <c r="L676" s="64" t="e">
        <f>L677+#REF!</f>
        <v>#REF!</v>
      </c>
      <c r="M676" s="65" t="e">
        <f>M677+#REF!</f>
        <v>#REF!</v>
      </c>
      <c r="N676" s="224">
        <f t="shared" si="350"/>
        <v>0</v>
      </c>
      <c r="O676" s="224">
        <f t="shared" si="350"/>
        <v>0</v>
      </c>
      <c r="P676" s="224">
        <f t="shared" si="350"/>
        <v>0</v>
      </c>
      <c r="Q676" s="223">
        <f t="shared" ref="Q676:AB676" si="353">Q677</f>
        <v>1120000</v>
      </c>
      <c r="R676" s="224">
        <f t="shared" si="353"/>
        <v>0</v>
      </c>
      <c r="S676" s="224">
        <f>S677</f>
        <v>0</v>
      </c>
      <c r="T676" s="224">
        <f>T677</f>
        <v>0</v>
      </c>
      <c r="U676" s="225">
        <f t="shared" si="353"/>
        <v>1120000</v>
      </c>
      <c r="V676" s="224">
        <f t="shared" si="353"/>
        <v>220000</v>
      </c>
      <c r="W676" s="223">
        <f t="shared" si="353"/>
        <v>0</v>
      </c>
      <c r="X676" s="223">
        <f t="shared" si="353"/>
        <v>0</v>
      </c>
      <c r="Y676" s="224">
        <f>Y677+Y679</f>
        <v>6400000</v>
      </c>
      <c r="Z676" s="225">
        <f t="shared" si="353"/>
        <v>220000</v>
      </c>
      <c r="AA676" s="224">
        <f t="shared" si="353"/>
        <v>0</v>
      </c>
      <c r="AB676" s="224">
        <f t="shared" si="353"/>
        <v>220000</v>
      </c>
    </row>
    <row r="677" spans="1:28" s="100" customFormat="1" ht="25.5" x14ac:dyDescent="0.2">
      <c r="A677" s="212" t="s">
        <v>52</v>
      </c>
      <c r="B677" s="58" t="s">
        <v>119</v>
      </c>
      <c r="C677" s="59" t="s">
        <v>71</v>
      </c>
      <c r="D677" s="58" t="s">
        <v>100</v>
      </c>
      <c r="E677" s="77" t="s">
        <v>344</v>
      </c>
      <c r="F677" s="79" t="s">
        <v>135</v>
      </c>
      <c r="G677" s="66" t="s">
        <v>135</v>
      </c>
      <c r="H677" s="66" t="s">
        <v>135</v>
      </c>
      <c r="I677" s="79" t="s">
        <v>12</v>
      </c>
      <c r="J677" s="67" t="s">
        <v>135</v>
      </c>
      <c r="K677" s="372" t="s">
        <v>53</v>
      </c>
      <c r="L677" s="64">
        <f t="shared" ref="L677:R677" si="354">L678</f>
        <v>60000</v>
      </c>
      <c r="M677" s="65">
        <f t="shared" si="354"/>
        <v>0</v>
      </c>
      <c r="N677" s="224">
        <f t="shared" si="354"/>
        <v>0</v>
      </c>
      <c r="O677" s="224">
        <f t="shared" si="354"/>
        <v>0</v>
      </c>
      <c r="P677" s="224">
        <f t="shared" si="354"/>
        <v>0</v>
      </c>
      <c r="Q677" s="223">
        <f t="shared" si="354"/>
        <v>1120000</v>
      </c>
      <c r="R677" s="224">
        <f t="shared" si="354"/>
        <v>0</v>
      </c>
      <c r="S677" s="224">
        <f>S678</f>
        <v>0</v>
      </c>
      <c r="T677" s="224">
        <f>T678</f>
        <v>0</v>
      </c>
      <c r="U677" s="225">
        <f t="shared" ref="U677:AB677" si="355">U678</f>
        <v>1120000</v>
      </c>
      <c r="V677" s="224">
        <f t="shared" si="355"/>
        <v>220000</v>
      </c>
      <c r="W677" s="223">
        <f t="shared" si="355"/>
        <v>0</v>
      </c>
      <c r="X677" s="223">
        <f t="shared" si="355"/>
        <v>0</v>
      </c>
      <c r="Y677" s="224">
        <f t="shared" si="355"/>
        <v>1120000</v>
      </c>
      <c r="Z677" s="225">
        <f t="shared" si="355"/>
        <v>220000</v>
      </c>
      <c r="AA677" s="224">
        <f t="shared" si="355"/>
        <v>0</v>
      </c>
      <c r="AB677" s="224">
        <f t="shared" si="355"/>
        <v>220000</v>
      </c>
    </row>
    <row r="678" spans="1:28" s="100" customFormat="1" ht="25.5" x14ac:dyDescent="0.2">
      <c r="A678" s="212" t="s">
        <v>54</v>
      </c>
      <c r="B678" s="58" t="s">
        <v>119</v>
      </c>
      <c r="C678" s="59" t="s">
        <v>71</v>
      </c>
      <c r="D678" s="58" t="s">
        <v>100</v>
      </c>
      <c r="E678" s="77" t="s">
        <v>344</v>
      </c>
      <c r="F678" s="79" t="s">
        <v>135</v>
      </c>
      <c r="G678" s="66" t="s">
        <v>135</v>
      </c>
      <c r="H678" s="66" t="s">
        <v>135</v>
      </c>
      <c r="I678" s="79" t="s">
        <v>12</v>
      </c>
      <c r="J678" s="67" t="s">
        <v>135</v>
      </c>
      <c r="K678" s="372" t="s">
        <v>55</v>
      </c>
      <c r="L678" s="64">
        <v>60000</v>
      </c>
      <c r="M678" s="65">
        <v>0</v>
      </c>
      <c r="N678" s="224">
        <v>0</v>
      </c>
      <c r="O678" s="224">
        <v>0</v>
      </c>
      <c r="P678" s="224">
        <v>0</v>
      </c>
      <c r="Q678" s="223">
        <v>1120000</v>
      </c>
      <c r="R678" s="224">
        <v>0</v>
      </c>
      <c r="S678" s="224">
        <v>0</v>
      </c>
      <c r="T678" s="224">
        <v>0</v>
      </c>
      <c r="U678" s="225">
        <v>1120000</v>
      </c>
      <c r="V678" s="224">
        <v>220000</v>
      </c>
      <c r="W678" s="223">
        <v>0</v>
      </c>
      <c r="X678" s="223">
        <v>0</v>
      </c>
      <c r="Y678" s="224">
        <f>1120000</f>
        <v>1120000</v>
      </c>
      <c r="Z678" s="225">
        <v>220000</v>
      </c>
      <c r="AA678" s="224">
        <v>0</v>
      </c>
      <c r="AB678" s="224">
        <v>220000</v>
      </c>
    </row>
    <row r="679" spans="1:28" s="100" customFormat="1" ht="25.5" x14ac:dyDescent="0.2">
      <c r="A679" s="212" t="s">
        <v>21</v>
      </c>
      <c r="B679" s="58" t="s">
        <v>119</v>
      </c>
      <c r="C679" s="59" t="s">
        <v>71</v>
      </c>
      <c r="D679" s="58" t="s">
        <v>100</v>
      </c>
      <c r="E679" s="77" t="s">
        <v>344</v>
      </c>
      <c r="F679" s="79" t="s">
        <v>135</v>
      </c>
      <c r="G679" s="66" t="s">
        <v>135</v>
      </c>
      <c r="H679" s="66" t="s">
        <v>135</v>
      </c>
      <c r="I679" s="79" t="s">
        <v>12</v>
      </c>
      <c r="J679" s="67" t="s">
        <v>135</v>
      </c>
      <c r="K679" s="372" t="s">
        <v>149</v>
      </c>
      <c r="L679" s="64"/>
      <c r="M679" s="65"/>
      <c r="N679" s="224"/>
      <c r="O679" s="224"/>
      <c r="P679" s="224"/>
      <c r="Q679" s="223"/>
      <c r="R679" s="224"/>
      <c r="S679" s="224"/>
      <c r="T679" s="224">
        <v>0</v>
      </c>
      <c r="U679" s="225"/>
      <c r="V679" s="224"/>
      <c r="W679" s="223"/>
      <c r="X679" s="223"/>
      <c r="Y679" s="224">
        <f>Y680</f>
        <v>5280000</v>
      </c>
      <c r="Z679" s="225"/>
      <c r="AA679" s="224"/>
      <c r="AB679" s="224">
        <v>0</v>
      </c>
    </row>
    <row r="680" spans="1:28" s="100" customFormat="1" x14ac:dyDescent="0.2">
      <c r="A680" s="212" t="s">
        <v>22</v>
      </c>
      <c r="B680" s="58" t="s">
        <v>119</v>
      </c>
      <c r="C680" s="59" t="s">
        <v>71</v>
      </c>
      <c r="D680" s="58" t="s">
        <v>100</v>
      </c>
      <c r="E680" s="77" t="s">
        <v>344</v>
      </c>
      <c r="F680" s="79" t="s">
        <v>135</v>
      </c>
      <c r="G680" s="66" t="s">
        <v>135</v>
      </c>
      <c r="H680" s="66" t="s">
        <v>135</v>
      </c>
      <c r="I680" s="79" t="s">
        <v>12</v>
      </c>
      <c r="J680" s="67" t="s">
        <v>135</v>
      </c>
      <c r="K680" s="372" t="s">
        <v>23</v>
      </c>
      <c r="L680" s="64"/>
      <c r="M680" s="65"/>
      <c r="N680" s="224"/>
      <c r="O680" s="224"/>
      <c r="P680" s="224"/>
      <c r="Q680" s="223"/>
      <c r="R680" s="224"/>
      <c r="S680" s="224"/>
      <c r="T680" s="224">
        <v>0</v>
      </c>
      <c r="U680" s="225"/>
      <c r="V680" s="224"/>
      <c r="W680" s="223"/>
      <c r="X680" s="223"/>
      <c r="Y680" s="224">
        <v>5280000</v>
      </c>
      <c r="Z680" s="225"/>
      <c r="AA680" s="224"/>
      <c r="AB680" s="224">
        <v>0</v>
      </c>
    </row>
    <row r="681" spans="1:28" s="100" customFormat="1" ht="38.25" x14ac:dyDescent="0.2">
      <c r="A681" s="212" t="s">
        <v>347</v>
      </c>
      <c r="B681" s="58" t="s">
        <v>119</v>
      </c>
      <c r="C681" s="59" t="s">
        <v>71</v>
      </c>
      <c r="D681" s="58" t="s">
        <v>100</v>
      </c>
      <c r="E681" s="77" t="s">
        <v>344</v>
      </c>
      <c r="F681" s="79" t="s">
        <v>135</v>
      </c>
      <c r="G681" s="66" t="s">
        <v>135</v>
      </c>
      <c r="H681" s="66" t="s">
        <v>135</v>
      </c>
      <c r="I681" s="72" t="s">
        <v>389</v>
      </c>
      <c r="J681" s="67" t="s">
        <v>135</v>
      </c>
      <c r="K681" s="372"/>
      <c r="L681" s="64" t="e">
        <f>L682+#REF!</f>
        <v>#REF!</v>
      </c>
      <c r="M681" s="65" t="e">
        <f>M682+#REF!</f>
        <v>#REF!</v>
      </c>
      <c r="N681" s="224">
        <f t="shared" ref="N681:O681" si="356">N682</f>
        <v>0</v>
      </c>
      <c r="O681" s="224">
        <f t="shared" si="356"/>
        <v>0</v>
      </c>
      <c r="P681" s="224">
        <f>P682+P685</f>
        <v>5280000</v>
      </c>
      <c r="Q681" s="224">
        <f t="shared" ref="Q681:AB681" si="357">Q682+Q685</f>
        <v>1120000</v>
      </c>
      <c r="R681" s="224">
        <f t="shared" si="357"/>
        <v>0</v>
      </c>
      <c r="S681" s="224">
        <f t="shared" si="357"/>
        <v>0</v>
      </c>
      <c r="T681" s="224">
        <f t="shared" si="357"/>
        <v>5280000</v>
      </c>
      <c r="U681" s="225">
        <f t="shared" si="357"/>
        <v>0</v>
      </c>
      <c r="V681" s="224">
        <f t="shared" si="357"/>
        <v>220000</v>
      </c>
      <c r="W681" s="224">
        <f t="shared" si="357"/>
        <v>0</v>
      </c>
      <c r="X681" s="223">
        <f t="shared" si="357"/>
        <v>0</v>
      </c>
      <c r="Y681" s="224">
        <f t="shared" si="357"/>
        <v>0</v>
      </c>
      <c r="Z681" s="225">
        <f t="shared" si="357"/>
        <v>0</v>
      </c>
      <c r="AA681" s="224">
        <f t="shared" si="357"/>
        <v>0</v>
      </c>
      <c r="AB681" s="224">
        <f t="shared" si="357"/>
        <v>0</v>
      </c>
    </row>
    <row r="682" spans="1:28" s="100" customFormat="1" ht="25.5" hidden="1" x14ac:dyDescent="0.2">
      <c r="A682" s="212" t="s">
        <v>52</v>
      </c>
      <c r="B682" s="58" t="s">
        <v>119</v>
      </c>
      <c r="C682" s="59" t="s">
        <v>71</v>
      </c>
      <c r="D682" s="58" t="s">
        <v>100</v>
      </c>
      <c r="E682" s="77" t="s">
        <v>344</v>
      </c>
      <c r="F682" s="79" t="s">
        <v>135</v>
      </c>
      <c r="G682" s="66" t="s">
        <v>135</v>
      </c>
      <c r="H682" s="66" t="s">
        <v>135</v>
      </c>
      <c r="I682" s="72" t="s">
        <v>389</v>
      </c>
      <c r="J682" s="67" t="s">
        <v>135</v>
      </c>
      <c r="K682" s="372" t="s">
        <v>53</v>
      </c>
      <c r="L682" s="64">
        <f t="shared" ref="L682:R682" si="358">L683</f>
        <v>60000</v>
      </c>
      <c r="M682" s="65">
        <f t="shared" si="358"/>
        <v>0</v>
      </c>
      <c r="N682" s="224">
        <f t="shared" si="358"/>
        <v>0</v>
      </c>
      <c r="O682" s="224">
        <f t="shared" si="358"/>
        <v>0</v>
      </c>
      <c r="P682" s="224">
        <f t="shared" si="358"/>
        <v>5280000</v>
      </c>
      <c r="Q682" s="223">
        <f t="shared" si="358"/>
        <v>1120000</v>
      </c>
      <c r="R682" s="224">
        <f t="shared" si="358"/>
        <v>0</v>
      </c>
      <c r="S682" s="224">
        <f>S683</f>
        <v>-5280000</v>
      </c>
      <c r="T682" s="224">
        <f>T683</f>
        <v>0</v>
      </c>
      <c r="U682" s="225">
        <f t="shared" ref="U682:AB682" si="359">U683</f>
        <v>0</v>
      </c>
      <c r="V682" s="224">
        <f t="shared" si="359"/>
        <v>220000</v>
      </c>
      <c r="W682" s="223">
        <f t="shared" si="359"/>
        <v>0</v>
      </c>
      <c r="X682" s="223">
        <f t="shared" si="359"/>
        <v>0</v>
      </c>
      <c r="Y682" s="224">
        <f t="shared" si="359"/>
        <v>0</v>
      </c>
      <c r="Z682" s="225">
        <f t="shared" si="359"/>
        <v>0</v>
      </c>
      <c r="AA682" s="224">
        <f t="shared" si="359"/>
        <v>0</v>
      </c>
      <c r="AB682" s="224">
        <f t="shared" si="359"/>
        <v>0</v>
      </c>
    </row>
    <row r="683" spans="1:28" s="100" customFormat="1" ht="25.5" hidden="1" x14ac:dyDescent="0.2">
      <c r="A683" s="212" t="s">
        <v>54</v>
      </c>
      <c r="B683" s="58" t="s">
        <v>119</v>
      </c>
      <c r="C683" s="59" t="s">
        <v>71</v>
      </c>
      <c r="D683" s="58" t="s">
        <v>100</v>
      </c>
      <c r="E683" s="77" t="s">
        <v>344</v>
      </c>
      <c r="F683" s="79" t="s">
        <v>135</v>
      </c>
      <c r="G683" s="66" t="s">
        <v>135</v>
      </c>
      <c r="H683" s="66" t="s">
        <v>135</v>
      </c>
      <c r="I683" s="72" t="s">
        <v>389</v>
      </c>
      <c r="J683" s="67" t="s">
        <v>135</v>
      </c>
      <c r="K683" s="372" t="s">
        <v>55</v>
      </c>
      <c r="L683" s="64">
        <v>60000</v>
      </c>
      <c r="M683" s="65">
        <v>0</v>
      </c>
      <c r="N683" s="224">
        <v>0</v>
      </c>
      <c r="O683" s="224">
        <v>0</v>
      </c>
      <c r="P683" s="224">
        <v>5280000</v>
      </c>
      <c r="Q683" s="223">
        <v>1120000</v>
      </c>
      <c r="R683" s="224">
        <v>0</v>
      </c>
      <c r="S683" s="224">
        <v>-5280000</v>
      </c>
      <c r="T683" s="224">
        <f>S683+P683</f>
        <v>0</v>
      </c>
      <c r="U683" s="225">
        <v>0</v>
      </c>
      <c r="V683" s="224">
        <v>220000</v>
      </c>
      <c r="W683" s="223">
        <v>0</v>
      </c>
      <c r="X683" s="223">
        <v>0</v>
      </c>
      <c r="Y683" s="224">
        <v>0</v>
      </c>
      <c r="Z683" s="225">
        <v>0</v>
      </c>
      <c r="AA683" s="224">
        <v>0</v>
      </c>
      <c r="AB683" s="224">
        <v>0</v>
      </c>
    </row>
    <row r="684" spans="1:28" s="100" customFormat="1" ht="25.5" x14ac:dyDescent="0.2">
      <c r="A684" s="212" t="s">
        <v>21</v>
      </c>
      <c r="B684" s="58" t="s">
        <v>119</v>
      </c>
      <c r="C684" s="59" t="s">
        <v>71</v>
      </c>
      <c r="D684" s="58" t="s">
        <v>100</v>
      </c>
      <c r="E684" s="77" t="s">
        <v>344</v>
      </c>
      <c r="F684" s="79" t="s">
        <v>135</v>
      </c>
      <c r="G684" s="66" t="s">
        <v>135</v>
      </c>
      <c r="H684" s="66" t="s">
        <v>135</v>
      </c>
      <c r="I684" s="72" t="s">
        <v>389</v>
      </c>
      <c r="J684" s="67" t="s">
        <v>135</v>
      </c>
      <c r="K684" s="372" t="s">
        <v>149</v>
      </c>
      <c r="L684" s="64"/>
      <c r="M684" s="65"/>
      <c r="N684" s="224"/>
      <c r="O684" s="224"/>
      <c r="P684" s="224">
        <f>P685</f>
        <v>0</v>
      </c>
      <c r="Q684" s="223"/>
      <c r="R684" s="224"/>
      <c r="S684" s="224">
        <f>S685</f>
        <v>5280000</v>
      </c>
      <c r="T684" s="224">
        <f>T685</f>
        <v>5280000</v>
      </c>
      <c r="U684" s="225">
        <f>U685</f>
        <v>0</v>
      </c>
      <c r="V684" s="224"/>
      <c r="W684" s="223"/>
      <c r="X684" s="223">
        <f>X685</f>
        <v>0</v>
      </c>
      <c r="Y684" s="224">
        <f>Y685</f>
        <v>0</v>
      </c>
      <c r="Z684" s="225">
        <f>Z685</f>
        <v>0</v>
      </c>
      <c r="AA684" s="224">
        <f>AA685</f>
        <v>0</v>
      </c>
      <c r="AB684" s="224">
        <f>AB685</f>
        <v>0</v>
      </c>
    </row>
    <row r="685" spans="1:28" s="100" customFormat="1" x14ac:dyDescent="0.2">
      <c r="A685" s="212" t="s">
        <v>22</v>
      </c>
      <c r="B685" s="58" t="s">
        <v>119</v>
      </c>
      <c r="C685" s="59" t="s">
        <v>71</v>
      </c>
      <c r="D685" s="58" t="s">
        <v>100</v>
      </c>
      <c r="E685" s="77" t="s">
        <v>344</v>
      </c>
      <c r="F685" s="79" t="s">
        <v>135</v>
      </c>
      <c r="G685" s="66" t="s">
        <v>135</v>
      </c>
      <c r="H685" s="66" t="s">
        <v>135</v>
      </c>
      <c r="I685" s="72" t="s">
        <v>389</v>
      </c>
      <c r="J685" s="67" t="s">
        <v>135</v>
      </c>
      <c r="K685" s="372" t="s">
        <v>23</v>
      </c>
      <c r="L685" s="64"/>
      <c r="M685" s="65"/>
      <c r="N685" s="224"/>
      <c r="O685" s="224"/>
      <c r="P685" s="224">
        <v>0</v>
      </c>
      <c r="Q685" s="223"/>
      <c r="R685" s="224"/>
      <c r="S685" s="224">
        <v>5280000</v>
      </c>
      <c r="T685" s="224">
        <f>S685</f>
        <v>5280000</v>
      </c>
      <c r="U685" s="225">
        <v>0</v>
      </c>
      <c r="V685" s="224"/>
      <c r="W685" s="223"/>
      <c r="X685" s="223">
        <v>0</v>
      </c>
      <c r="Y685" s="224">
        <v>0</v>
      </c>
      <c r="Z685" s="225">
        <v>0</v>
      </c>
      <c r="AA685" s="224">
        <v>0</v>
      </c>
      <c r="AB685" s="224">
        <v>0</v>
      </c>
    </row>
    <row r="686" spans="1:28" s="100" customFormat="1" x14ac:dyDescent="0.2">
      <c r="A686" s="207" t="s">
        <v>78</v>
      </c>
      <c r="B686" s="58" t="s">
        <v>119</v>
      </c>
      <c r="C686" s="59" t="s">
        <v>74</v>
      </c>
      <c r="D686" s="58"/>
      <c r="E686" s="77"/>
      <c r="F686" s="79"/>
      <c r="G686" s="66"/>
      <c r="H686" s="66"/>
      <c r="I686" s="79"/>
      <c r="J686" s="67"/>
      <c r="K686" s="372"/>
      <c r="L686" s="64" t="e">
        <f t="shared" ref="L686:Z686" si="360">L702+L687</f>
        <v>#REF!</v>
      </c>
      <c r="M686" s="65" t="e">
        <f t="shared" si="360"/>
        <v>#REF!</v>
      </c>
      <c r="N686" s="224">
        <f t="shared" si="360"/>
        <v>19177000</v>
      </c>
      <c r="O686" s="224">
        <f t="shared" si="360"/>
        <v>0</v>
      </c>
      <c r="P686" s="224">
        <f t="shared" si="360"/>
        <v>19332555.559999999</v>
      </c>
      <c r="Q686" s="223">
        <f t="shared" si="360"/>
        <v>20377000</v>
      </c>
      <c r="R686" s="224">
        <f t="shared" si="360"/>
        <v>0</v>
      </c>
      <c r="S686" s="224">
        <f>S702+S687</f>
        <v>566500</v>
      </c>
      <c r="T686" s="224">
        <f>T702+T687</f>
        <v>19899055.559999999</v>
      </c>
      <c r="U686" s="225">
        <f t="shared" si="360"/>
        <v>19777000</v>
      </c>
      <c r="V686" s="224">
        <f t="shared" si="360"/>
        <v>20227000</v>
      </c>
      <c r="W686" s="223">
        <f t="shared" si="360"/>
        <v>0</v>
      </c>
      <c r="X686" s="223">
        <f>X702+X687</f>
        <v>0</v>
      </c>
      <c r="Y686" s="224">
        <f>Y702+Y687</f>
        <v>19777000</v>
      </c>
      <c r="Z686" s="225">
        <f t="shared" si="360"/>
        <v>19627000</v>
      </c>
      <c r="AA686" s="224">
        <f>AA702+AA687</f>
        <v>0</v>
      </c>
      <c r="AB686" s="224">
        <f>AB702+AB687</f>
        <v>19627000</v>
      </c>
    </row>
    <row r="687" spans="1:28" s="100" customFormat="1" x14ac:dyDescent="0.2">
      <c r="A687" s="212" t="s">
        <v>181</v>
      </c>
      <c r="B687" s="58" t="s">
        <v>119</v>
      </c>
      <c r="C687" s="59" t="s">
        <v>74</v>
      </c>
      <c r="D687" s="58" t="s">
        <v>72</v>
      </c>
      <c r="E687" s="77"/>
      <c r="F687" s="79"/>
      <c r="G687" s="66"/>
      <c r="H687" s="66"/>
      <c r="I687" s="79"/>
      <c r="J687" s="67"/>
      <c r="K687" s="372"/>
      <c r="L687" s="64" t="e">
        <f t="shared" ref="L687:AB688" si="361">L688</f>
        <v>#REF!</v>
      </c>
      <c r="M687" s="65" t="e">
        <f t="shared" si="361"/>
        <v>#REF!</v>
      </c>
      <c r="N687" s="224">
        <f t="shared" si="361"/>
        <v>19177000</v>
      </c>
      <c r="O687" s="224">
        <f t="shared" si="361"/>
        <v>0</v>
      </c>
      <c r="P687" s="224">
        <f t="shared" si="361"/>
        <v>19232555.559999999</v>
      </c>
      <c r="Q687" s="223">
        <f t="shared" si="361"/>
        <v>19477000</v>
      </c>
      <c r="R687" s="224">
        <f t="shared" si="361"/>
        <v>0</v>
      </c>
      <c r="S687" s="224">
        <f t="shared" si="361"/>
        <v>0</v>
      </c>
      <c r="T687" s="224">
        <f t="shared" si="361"/>
        <v>19232555.559999999</v>
      </c>
      <c r="U687" s="225">
        <f t="shared" si="361"/>
        <v>19477000</v>
      </c>
      <c r="V687" s="224">
        <f t="shared" si="361"/>
        <v>19327000</v>
      </c>
      <c r="W687" s="223">
        <f t="shared" si="361"/>
        <v>0</v>
      </c>
      <c r="X687" s="223">
        <f t="shared" si="361"/>
        <v>0</v>
      </c>
      <c r="Y687" s="224">
        <f t="shared" si="361"/>
        <v>19477000</v>
      </c>
      <c r="Z687" s="225">
        <f t="shared" si="361"/>
        <v>19327000</v>
      </c>
      <c r="AA687" s="224">
        <f t="shared" si="361"/>
        <v>0</v>
      </c>
      <c r="AB687" s="224">
        <f t="shared" si="361"/>
        <v>19327000</v>
      </c>
    </row>
    <row r="688" spans="1:28" s="100" customFormat="1" ht="25.5" x14ac:dyDescent="0.2">
      <c r="A688" s="212" t="s">
        <v>339</v>
      </c>
      <c r="B688" s="58" t="s">
        <v>119</v>
      </c>
      <c r="C688" s="59" t="s">
        <v>74</v>
      </c>
      <c r="D688" s="58" t="s">
        <v>72</v>
      </c>
      <c r="E688" s="77" t="s">
        <v>69</v>
      </c>
      <c r="F688" s="79" t="s">
        <v>135</v>
      </c>
      <c r="G688" s="66" t="s">
        <v>135</v>
      </c>
      <c r="H688" s="66" t="s">
        <v>135</v>
      </c>
      <c r="I688" s="79" t="s">
        <v>136</v>
      </c>
      <c r="J688" s="67" t="s">
        <v>135</v>
      </c>
      <c r="K688" s="372"/>
      <c r="L688" s="64" t="e">
        <f t="shared" si="361"/>
        <v>#REF!</v>
      </c>
      <c r="M688" s="65" t="e">
        <f t="shared" si="361"/>
        <v>#REF!</v>
      </c>
      <c r="N688" s="224">
        <f t="shared" si="361"/>
        <v>19177000</v>
      </c>
      <c r="O688" s="224">
        <f t="shared" si="361"/>
        <v>0</v>
      </c>
      <c r="P688" s="224">
        <f t="shared" si="361"/>
        <v>19232555.559999999</v>
      </c>
      <c r="Q688" s="223">
        <f t="shared" si="361"/>
        <v>19477000</v>
      </c>
      <c r="R688" s="224">
        <f t="shared" si="361"/>
        <v>0</v>
      </c>
      <c r="S688" s="224">
        <f t="shared" si="361"/>
        <v>0</v>
      </c>
      <c r="T688" s="224">
        <f t="shared" si="361"/>
        <v>19232555.559999999</v>
      </c>
      <c r="U688" s="225">
        <f t="shared" si="361"/>
        <v>19477000</v>
      </c>
      <c r="V688" s="224">
        <f t="shared" si="361"/>
        <v>19327000</v>
      </c>
      <c r="W688" s="223">
        <f t="shared" si="361"/>
        <v>0</v>
      </c>
      <c r="X688" s="223">
        <f t="shared" si="361"/>
        <v>0</v>
      </c>
      <c r="Y688" s="224">
        <f t="shared" si="361"/>
        <v>19477000</v>
      </c>
      <c r="Z688" s="225">
        <f t="shared" si="361"/>
        <v>19327000</v>
      </c>
      <c r="AA688" s="224">
        <f t="shared" si="361"/>
        <v>0</v>
      </c>
      <c r="AB688" s="224">
        <f t="shared" si="361"/>
        <v>19327000</v>
      </c>
    </row>
    <row r="689" spans="1:28" s="100" customFormat="1" ht="25.5" x14ac:dyDescent="0.2">
      <c r="A689" s="226" t="s">
        <v>341</v>
      </c>
      <c r="B689" s="58" t="s">
        <v>119</v>
      </c>
      <c r="C689" s="59" t="s">
        <v>74</v>
      </c>
      <c r="D689" s="58" t="s">
        <v>72</v>
      </c>
      <c r="E689" s="77" t="s">
        <v>69</v>
      </c>
      <c r="F689" s="79" t="s">
        <v>137</v>
      </c>
      <c r="G689" s="66" t="s">
        <v>135</v>
      </c>
      <c r="H689" s="66" t="s">
        <v>135</v>
      </c>
      <c r="I689" s="79" t="s">
        <v>136</v>
      </c>
      <c r="J689" s="67" t="s">
        <v>135</v>
      </c>
      <c r="K689" s="372"/>
      <c r="L689" s="64" t="e">
        <f>L693+#REF!+L690</f>
        <v>#REF!</v>
      </c>
      <c r="M689" s="65" t="e">
        <f>M693+#REF!+M690</f>
        <v>#REF!</v>
      </c>
      <c r="N689" s="224">
        <f t="shared" ref="N689:O689" si="362">N693+N690+N699</f>
        <v>19177000</v>
      </c>
      <c r="O689" s="224">
        <f t="shared" si="362"/>
        <v>0</v>
      </c>
      <c r="P689" s="224">
        <f>P693+P690+P699+P696</f>
        <v>19232555.559999999</v>
      </c>
      <c r="Q689" s="224">
        <f t="shared" ref="Q689:AB689" si="363">Q693+Q690+Q699+Q696</f>
        <v>19477000</v>
      </c>
      <c r="R689" s="224">
        <f t="shared" si="363"/>
        <v>0</v>
      </c>
      <c r="S689" s="224">
        <f t="shared" si="363"/>
        <v>0</v>
      </c>
      <c r="T689" s="224">
        <f t="shared" si="363"/>
        <v>19232555.559999999</v>
      </c>
      <c r="U689" s="225">
        <f t="shared" si="363"/>
        <v>19477000</v>
      </c>
      <c r="V689" s="224">
        <f t="shared" si="363"/>
        <v>19327000</v>
      </c>
      <c r="W689" s="224">
        <f t="shared" si="363"/>
        <v>0</v>
      </c>
      <c r="X689" s="223">
        <f t="shared" si="363"/>
        <v>0</v>
      </c>
      <c r="Y689" s="224">
        <f t="shared" si="363"/>
        <v>19477000</v>
      </c>
      <c r="Z689" s="225">
        <f t="shared" si="363"/>
        <v>19327000</v>
      </c>
      <c r="AA689" s="224">
        <f t="shared" si="363"/>
        <v>0</v>
      </c>
      <c r="AB689" s="224">
        <f t="shared" si="363"/>
        <v>19327000</v>
      </c>
    </row>
    <row r="690" spans="1:28" s="100" customFormat="1" x14ac:dyDescent="0.2">
      <c r="A690" s="212" t="s">
        <v>10</v>
      </c>
      <c r="B690" s="58" t="s">
        <v>119</v>
      </c>
      <c r="C690" s="59" t="s">
        <v>74</v>
      </c>
      <c r="D690" s="58" t="s">
        <v>72</v>
      </c>
      <c r="E690" s="104" t="s">
        <v>69</v>
      </c>
      <c r="F690" s="81" t="s">
        <v>137</v>
      </c>
      <c r="G690" s="66" t="s">
        <v>135</v>
      </c>
      <c r="H690" s="66" t="s">
        <v>135</v>
      </c>
      <c r="I690" s="81" t="s">
        <v>12</v>
      </c>
      <c r="J690" s="67" t="s">
        <v>135</v>
      </c>
      <c r="K690" s="372"/>
      <c r="L690" s="64">
        <f t="shared" ref="L690:AB691" si="364">L691</f>
        <v>130000</v>
      </c>
      <c r="M690" s="65">
        <f t="shared" si="364"/>
        <v>0</v>
      </c>
      <c r="N690" s="224">
        <f t="shared" si="364"/>
        <v>0</v>
      </c>
      <c r="O690" s="224">
        <f t="shared" si="364"/>
        <v>0</v>
      </c>
      <c r="P690" s="224">
        <f t="shared" si="364"/>
        <v>0</v>
      </c>
      <c r="Q690" s="223">
        <f t="shared" si="364"/>
        <v>300000</v>
      </c>
      <c r="R690" s="224">
        <f t="shared" si="364"/>
        <v>0</v>
      </c>
      <c r="S690" s="224">
        <f t="shared" si="364"/>
        <v>0</v>
      </c>
      <c r="T690" s="224">
        <f t="shared" si="364"/>
        <v>0</v>
      </c>
      <c r="U690" s="225">
        <f t="shared" si="364"/>
        <v>300000</v>
      </c>
      <c r="V690" s="224">
        <f t="shared" si="364"/>
        <v>150000</v>
      </c>
      <c r="W690" s="223">
        <f t="shared" si="364"/>
        <v>0</v>
      </c>
      <c r="X690" s="223">
        <f t="shared" si="364"/>
        <v>0</v>
      </c>
      <c r="Y690" s="224">
        <f t="shared" si="364"/>
        <v>300000</v>
      </c>
      <c r="Z690" s="225">
        <f t="shared" si="364"/>
        <v>150000</v>
      </c>
      <c r="AA690" s="224">
        <f t="shared" si="364"/>
        <v>0</v>
      </c>
      <c r="AB690" s="224">
        <f t="shared" si="364"/>
        <v>150000</v>
      </c>
    </row>
    <row r="691" spans="1:28" s="100" customFormat="1" ht="25.5" x14ac:dyDescent="0.2">
      <c r="A691" s="212" t="s">
        <v>21</v>
      </c>
      <c r="B691" s="58" t="s">
        <v>119</v>
      </c>
      <c r="C691" s="59" t="s">
        <v>74</v>
      </c>
      <c r="D691" s="58" t="s">
        <v>72</v>
      </c>
      <c r="E691" s="103" t="s">
        <v>69</v>
      </c>
      <c r="F691" s="66" t="s">
        <v>137</v>
      </c>
      <c r="G691" s="66" t="s">
        <v>135</v>
      </c>
      <c r="H691" s="66" t="s">
        <v>135</v>
      </c>
      <c r="I691" s="81" t="s">
        <v>12</v>
      </c>
      <c r="J691" s="67" t="s">
        <v>135</v>
      </c>
      <c r="K691" s="372">
        <v>600</v>
      </c>
      <c r="L691" s="64">
        <f t="shared" si="364"/>
        <v>130000</v>
      </c>
      <c r="M691" s="65">
        <f t="shared" si="364"/>
        <v>0</v>
      </c>
      <c r="N691" s="224">
        <f t="shared" si="364"/>
        <v>0</v>
      </c>
      <c r="O691" s="224">
        <f t="shared" si="364"/>
        <v>0</v>
      </c>
      <c r="P691" s="224">
        <f t="shared" si="364"/>
        <v>0</v>
      </c>
      <c r="Q691" s="223">
        <f t="shared" si="364"/>
        <v>300000</v>
      </c>
      <c r="R691" s="224">
        <f t="shared" si="364"/>
        <v>0</v>
      </c>
      <c r="S691" s="224">
        <f t="shared" si="364"/>
        <v>0</v>
      </c>
      <c r="T691" s="224">
        <f t="shared" si="364"/>
        <v>0</v>
      </c>
      <c r="U691" s="225">
        <f t="shared" si="364"/>
        <v>300000</v>
      </c>
      <c r="V691" s="224">
        <f t="shared" si="364"/>
        <v>150000</v>
      </c>
      <c r="W691" s="223">
        <f t="shared" si="364"/>
        <v>0</v>
      </c>
      <c r="X691" s="223">
        <f t="shared" si="364"/>
        <v>0</v>
      </c>
      <c r="Y691" s="224">
        <f t="shared" si="364"/>
        <v>300000</v>
      </c>
      <c r="Z691" s="225">
        <f t="shared" si="364"/>
        <v>150000</v>
      </c>
      <c r="AA691" s="224">
        <f t="shared" si="364"/>
        <v>0</v>
      </c>
      <c r="AB691" s="224">
        <f t="shared" si="364"/>
        <v>150000</v>
      </c>
    </row>
    <row r="692" spans="1:28" s="100" customFormat="1" x14ac:dyDescent="0.2">
      <c r="A692" s="212" t="s">
        <v>22</v>
      </c>
      <c r="B692" s="59" t="s">
        <v>119</v>
      </c>
      <c r="C692" s="59" t="s">
        <v>74</v>
      </c>
      <c r="D692" s="58" t="s">
        <v>72</v>
      </c>
      <c r="E692" s="103" t="s">
        <v>69</v>
      </c>
      <c r="F692" s="66" t="s">
        <v>137</v>
      </c>
      <c r="G692" s="66" t="s">
        <v>135</v>
      </c>
      <c r="H692" s="66" t="s">
        <v>135</v>
      </c>
      <c r="I692" s="66" t="s">
        <v>12</v>
      </c>
      <c r="J692" s="67" t="s">
        <v>135</v>
      </c>
      <c r="K692" s="372" t="s">
        <v>23</v>
      </c>
      <c r="L692" s="64">
        <v>130000</v>
      </c>
      <c r="M692" s="65">
        <v>0</v>
      </c>
      <c r="N692" s="224">
        <v>0</v>
      </c>
      <c r="O692" s="224">
        <v>0</v>
      </c>
      <c r="P692" s="224">
        <v>0</v>
      </c>
      <c r="Q692" s="223">
        <v>300000</v>
      </c>
      <c r="R692" s="224">
        <v>0</v>
      </c>
      <c r="S692" s="224">
        <v>0</v>
      </c>
      <c r="T692" s="224">
        <v>0</v>
      </c>
      <c r="U692" s="225">
        <v>300000</v>
      </c>
      <c r="V692" s="224">
        <v>150000</v>
      </c>
      <c r="W692" s="223">
        <v>0</v>
      </c>
      <c r="X692" s="223">
        <v>0</v>
      </c>
      <c r="Y692" s="224">
        <v>300000</v>
      </c>
      <c r="Z692" s="225">
        <v>150000</v>
      </c>
      <c r="AA692" s="224">
        <v>0</v>
      </c>
      <c r="AB692" s="224">
        <v>150000</v>
      </c>
    </row>
    <row r="693" spans="1:28" s="100" customFormat="1" ht="25.5" x14ac:dyDescent="0.2">
      <c r="A693" s="212" t="s">
        <v>150</v>
      </c>
      <c r="B693" s="59" t="s">
        <v>119</v>
      </c>
      <c r="C693" s="59" t="s">
        <v>74</v>
      </c>
      <c r="D693" s="58" t="s">
        <v>72</v>
      </c>
      <c r="E693" s="103" t="s">
        <v>69</v>
      </c>
      <c r="F693" s="70" t="s">
        <v>137</v>
      </c>
      <c r="G693" s="66" t="s">
        <v>135</v>
      </c>
      <c r="H693" s="66" t="s">
        <v>135</v>
      </c>
      <c r="I693" s="71" t="s">
        <v>151</v>
      </c>
      <c r="J693" s="67" t="s">
        <v>135</v>
      </c>
      <c r="K693" s="372"/>
      <c r="L693" s="64">
        <f t="shared" ref="L693:AB694" si="365">L694</f>
        <v>13267300</v>
      </c>
      <c r="M693" s="65">
        <f t="shared" si="365"/>
        <v>0</v>
      </c>
      <c r="N693" s="224">
        <f t="shared" si="365"/>
        <v>18377000</v>
      </c>
      <c r="O693" s="224">
        <f t="shared" si="365"/>
        <v>0</v>
      </c>
      <c r="P693" s="224">
        <f t="shared" si="365"/>
        <v>18372818.399999999</v>
      </c>
      <c r="Q693" s="223">
        <f t="shared" si="365"/>
        <v>18377000</v>
      </c>
      <c r="R693" s="224">
        <f t="shared" si="365"/>
        <v>0</v>
      </c>
      <c r="S693" s="223">
        <f t="shared" si="365"/>
        <v>0</v>
      </c>
      <c r="T693" s="224">
        <f t="shared" si="365"/>
        <v>18372818.399999999</v>
      </c>
      <c r="U693" s="225">
        <f t="shared" si="365"/>
        <v>18377000</v>
      </c>
      <c r="V693" s="225">
        <f t="shared" si="365"/>
        <v>18377000</v>
      </c>
      <c r="W693" s="223">
        <f t="shared" si="365"/>
        <v>0</v>
      </c>
      <c r="X693" s="223">
        <f t="shared" si="365"/>
        <v>0</v>
      </c>
      <c r="Y693" s="224">
        <f t="shared" si="365"/>
        <v>18377000</v>
      </c>
      <c r="Z693" s="225">
        <f t="shared" si="365"/>
        <v>18377000</v>
      </c>
      <c r="AA693" s="224">
        <f t="shared" si="365"/>
        <v>0</v>
      </c>
      <c r="AB693" s="224">
        <f t="shared" si="365"/>
        <v>18377000</v>
      </c>
    </row>
    <row r="694" spans="1:28" s="100" customFormat="1" ht="25.5" x14ac:dyDescent="0.2">
      <c r="A694" s="212" t="s">
        <v>21</v>
      </c>
      <c r="B694" s="59" t="s">
        <v>119</v>
      </c>
      <c r="C694" s="59" t="s">
        <v>74</v>
      </c>
      <c r="D694" s="58" t="s">
        <v>72</v>
      </c>
      <c r="E694" s="103" t="s">
        <v>69</v>
      </c>
      <c r="F694" s="70" t="s">
        <v>137</v>
      </c>
      <c r="G694" s="66" t="s">
        <v>135</v>
      </c>
      <c r="H694" s="66" t="s">
        <v>135</v>
      </c>
      <c r="I694" s="71" t="s">
        <v>151</v>
      </c>
      <c r="J694" s="67" t="s">
        <v>135</v>
      </c>
      <c r="K694" s="208">
        <v>600</v>
      </c>
      <c r="L694" s="64">
        <f t="shared" si="365"/>
        <v>13267300</v>
      </c>
      <c r="M694" s="65">
        <f t="shared" si="365"/>
        <v>0</v>
      </c>
      <c r="N694" s="224">
        <f t="shared" si="365"/>
        <v>18377000</v>
      </c>
      <c r="O694" s="223">
        <f t="shared" si="365"/>
        <v>0</v>
      </c>
      <c r="P694" s="224">
        <f t="shared" si="365"/>
        <v>18372818.399999999</v>
      </c>
      <c r="Q694" s="64">
        <f t="shared" si="365"/>
        <v>18377000</v>
      </c>
      <c r="R694" s="223">
        <f t="shared" si="365"/>
        <v>0</v>
      </c>
      <c r="S694" s="223">
        <f t="shared" si="365"/>
        <v>0</v>
      </c>
      <c r="T694" s="224">
        <f t="shared" si="365"/>
        <v>18372818.399999999</v>
      </c>
      <c r="U694" s="225">
        <f t="shared" si="365"/>
        <v>18377000</v>
      </c>
      <c r="V694" s="225">
        <f t="shared" si="365"/>
        <v>18377000</v>
      </c>
      <c r="W694" s="223">
        <f t="shared" si="365"/>
        <v>0</v>
      </c>
      <c r="X694" s="223">
        <f t="shared" si="365"/>
        <v>0</v>
      </c>
      <c r="Y694" s="224">
        <f t="shared" si="365"/>
        <v>18377000</v>
      </c>
      <c r="Z694" s="225">
        <f t="shared" si="365"/>
        <v>18377000</v>
      </c>
      <c r="AA694" s="224">
        <f t="shared" si="365"/>
        <v>0</v>
      </c>
      <c r="AB694" s="224">
        <f t="shared" si="365"/>
        <v>18377000</v>
      </c>
    </row>
    <row r="695" spans="1:28" s="100" customFormat="1" x14ac:dyDescent="0.2">
      <c r="A695" s="212" t="s">
        <v>22</v>
      </c>
      <c r="B695" s="59" t="s">
        <v>119</v>
      </c>
      <c r="C695" s="59" t="s">
        <v>74</v>
      </c>
      <c r="D695" s="58" t="s">
        <v>72</v>
      </c>
      <c r="E695" s="103" t="s">
        <v>69</v>
      </c>
      <c r="F695" s="70" t="s">
        <v>137</v>
      </c>
      <c r="G695" s="66" t="s">
        <v>135</v>
      </c>
      <c r="H695" s="66" t="s">
        <v>135</v>
      </c>
      <c r="I695" s="71" t="s">
        <v>151</v>
      </c>
      <c r="J695" s="67" t="s">
        <v>135</v>
      </c>
      <c r="K695" s="208" t="s">
        <v>23</v>
      </c>
      <c r="L695" s="64">
        <v>13267300</v>
      </c>
      <c r="M695" s="65">
        <v>0</v>
      </c>
      <c r="N695" s="224">
        <v>18377000</v>
      </c>
      <c r="O695" s="223">
        <v>0</v>
      </c>
      <c r="P695" s="224">
        <v>18372818.399999999</v>
      </c>
      <c r="Q695" s="64">
        <v>18377000</v>
      </c>
      <c r="R695" s="223">
        <v>0</v>
      </c>
      <c r="S695" s="223">
        <v>0</v>
      </c>
      <c r="T695" s="224">
        <f>S695+P695</f>
        <v>18372818.399999999</v>
      </c>
      <c r="U695" s="225">
        <v>18377000</v>
      </c>
      <c r="V695" s="225">
        <v>18377000</v>
      </c>
      <c r="W695" s="223">
        <v>0</v>
      </c>
      <c r="X695" s="223">
        <v>0</v>
      </c>
      <c r="Y695" s="224">
        <v>18377000</v>
      </c>
      <c r="Z695" s="225">
        <v>18377000</v>
      </c>
      <c r="AA695" s="224">
        <v>0</v>
      </c>
      <c r="AB695" s="224">
        <v>18377000</v>
      </c>
    </row>
    <row r="696" spans="1:28" s="100" customFormat="1" ht="51" x14ac:dyDescent="0.2">
      <c r="A696" s="226" t="s">
        <v>422</v>
      </c>
      <c r="B696" s="499">
        <v>334</v>
      </c>
      <c r="C696" s="59" t="s">
        <v>74</v>
      </c>
      <c r="D696" s="58" t="s">
        <v>72</v>
      </c>
      <c r="E696" s="104" t="s">
        <v>69</v>
      </c>
      <c r="F696" s="81" t="s">
        <v>137</v>
      </c>
      <c r="G696" s="66" t="s">
        <v>410</v>
      </c>
      <c r="H696" s="66" t="s">
        <v>133</v>
      </c>
      <c r="I696" s="71" t="s">
        <v>421</v>
      </c>
      <c r="J696" s="67" t="s">
        <v>40</v>
      </c>
      <c r="K696" s="208"/>
      <c r="L696" s="68"/>
      <c r="M696" s="69"/>
      <c r="N696" s="502">
        <f t="shared" ref="N696:AB697" si="366">N697</f>
        <v>116959.06</v>
      </c>
      <c r="O696" s="69">
        <f t="shared" si="366"/>
        <v>0</v>
      </c>
      <c r="P696" s="216">
        <f t="shared" si="366"/>
        <v>59737.16</v>
      </c>
      <c r="Q696" s="498">
        <f t="shared" si="366"/>
        <v>0</v>
      </c>
      <c r="R696" s="69">
        <f t="shared" si="366"/>
        <v>0</v>
      </c>
      <c r="S696" s="215">
        <f t="shared" si="366"/>
        <v>0</v>
      </c>
      <c r="T696" s="216">
        <f t="shared" si="366"/>
        <v>59737.16</v>
      </c>
      <c r="U696" s="217">
        <f t="shared" si="366"/>
        <v>0</v>
      </c>
      <c r="V696" s="498">
        <f t="shared" si="366"/>
        <v>0</v>
      </c>
      <c r="W696" s="223"/>
      <c r="X696" s="215">
        <f t="shared" si="366"/>
        <v>0</v>
      </c>
      <c r="Y696" s="216">
        <f t="shared" si="366"/>
        <v>0</v>
      </c>
      <c r="Z696" s="217">
        <f t="shared" si="366"/>
        <v>0</v>
      </c>
      <c r="AA696" s="216">
        <f t="shared" si="366"/>
        <v>0</v>
      </c>
      <c r="AB696" s="216">
        <f t="shared" si="366"/>
        <v>0</v>
      </c>
    </row>
    <row r="697" spans="1:28" s="100" customFormat="1" ht="25.5" x14ac:dyDescent="0.2">
      <c r="A697" s="212" t="s">
        <v>21</v>
      </c>
      <c r="B697" s="499">
        <v>334</v>
      </c>
      <c r="C697" s="59" t="s">
        <v>74</v>
      </c>
      <c r="D697" s="58" t="s">
        <v>72</v>
      </c>
      <c r="E697" s="104" t="s">
        <v>69</v>
      </c>
      <c r="F697" s="81" t="s">
        <v>137</v>
      </c>
      <c r="G697" s="66" t="s">
        <v>410</v>
      </c>
      <c r="H697" s="66" t="s">
        <v>133</v>
      </c>
      <c r="I697" s="71" t="s">
        <v>421</v>
      </c>
      <c r="J697" s="67" t="s">
        <v>40</v>
      </c>
      <c r="K697" s="208" t="s">
        <v>149</v>
      </c>
      <c r="L697" s="68"/>
      <c r="M697" s="69"/>
      <c r="N697" s="502">
        <f t="shared" si="366"/>
        <v>116959.06</v>
      </c>
      <c r="O697" s="69">
        <f t="shared" si="366"/>
        <v>0</v>
      </c>
      <c r="P697" s="216">
        <f t="shared" si="366"/>
        <v>59737.16</v>
      </c>
      <c r="Q697" s="498">
        <f t="shared" si="366"/>
        <v>0</v>
      </c>
      <c r="R697" s="69">
        <f t="shared" si="366"/>
        <v>0</v>
      </c>
      <c r="S697" s="215">
        <f t="shared" si="366"/>
        <v>0</v>
      </c>
      <c r="T697" s="216">
        <f t="shared" si="366"/>
        <v>59737.16</v>
      </c>
      <c r="U697" s="217">
        <f t="shared" si="366"/>
        <v>0</v>
      </c>
      <c r="V697" s="498">
        <f t="shared" si="366"/>
        <v>0</v>
      </c>
      <c r="W697" s="223"/>
      <c r="X697" s="215">
        <f t="shared" si="366"/>
        <v>0</v>
      </c>
      <c r="Y697" s="216">
        <f t="shared" si="366"/>
        <v>0</v>
      </c>
      <c r="Z697" s="217">
        <f t="shared" si="366"/>
        <v>0</v>
      </c>
      <c r="AA697" s="216">
        <f t="shared" si="366"/>
        <v>0</v>
      </c>
      <c r="AB697" s="216">
        <f t="shared" si="366"/>
        <v>0</v>
      </c>
    </row>
    <row r="698" spans="1:28" s="100" customFormat="1" x14ac:dyDescent="0.2">
      <c r="A698" s="212" t="s">
        <v>22</v>
      </c>
      <c r="B698" s="499">
        <v>334</v>
      </c>
      <c r="C698" s="59" t="s">
        <v>74</v>
      </c>
      <c r="D698" s="58" t="s">
        <v>72</v>
      </c>
      <c r="E698" s="104" t="s">
        <v>69</v>
      </c>
      <c r="F698" s="81" t="s">
        <v>137</v>
      </c>
      <c r="G698" s="66" t="s">
        <v>410</v>
      </c>
      <c r="H698" s="66" t="s">
        <v>133</v>
      </c>
      <c r="I698" s="71" t="s">
        <v>421</v>
      </c>
      <c r="J698" s="67" t="s">
        <v>40</v>
      </c>
      <c r="K698" s="208" t="s">
        <v>23</v>
      </c>
      <c r="L698" s="68"/>
      <c r="M698" s="69"/>
      <c r="N698" s="502">
        <v>116959.06</v>
      </c>
      <c r="O698" s="69">
        <v>0</v>
      </c>
      <c r="P698" s="216">
        <v>59737.16</v>
      </c>
      <c r="Q698" s="498">
        <v>0</v>
      </c>
      <c r="R698" s="69">
        <v>0</v>
      </c>
      <c r="S698" s="215">
        <v>0</v>
      </c>
      <c r="T698" s="216">
        <f>P698</f>
        <v>59737.16</v>
      </c>
      <c r="U698" s="217">
        <v>0</v>
      </c>
      <c r="V698" s="498">
        <f>U698</f>
        <v>0</v>
      </c>
      <c r="W698" s="223"/>
      <c r="X698" s="215">
        <v>0</v>
      </c>
      <c r="Y698" s="216">
        <v>0</v>
      </c>
      <c r="Z698" s="217">
        <v>0</v>
      </c>
      <c r="AA698" s="216">
        <v>0</v>
      </c>
      <c r="AB698" s="216">
        <v>0</v>
      </c>
    </row>
    <row r="699" spans="1:28" s="100" customFormat="1" ht="89.25" x14ac:dyDescent="0.2">
      <c r="A699" s="207" t="s">
        <v>276</v>
      </c>
      <c r="B699" s="499">
        <v>334</v>
      </c>
      <c r="C699" s="59" t="s">
        <v>74</v>
      </c>
      <c r="D699" s="58" t="s">
        <v>72</v>
      </c>
      <c r="E699" s="103" t="s">
        <v>69</v>
      </c>
      <c r="F699" s="70" t="s">
        <v>137</v>
      </c>
      <c r="G699" s="66" t="s">
        <v>135</v>
      </c>
      <c r="H699" s="66" t="s">
        <v>135</v>
      </c>
      <c r="I699" s="71" t="s">
        <v>277</v>
      </c>
      <c r="J699" s="67" t="s">
        <v>135</v>
      </c>
      <c r="K699" s="208"/>
      <c r="L699" s="64">
        <f t="shared" ref="L699:AB700" si="367">L700</f>
        <v>600000</v>
      </c>
      <c r="M699" s="65">
        <f t="shared" si="367"/>
        <v>0</v>
      </c>
      <c r="N699" s="224">
        <f t="shared" si="367"/>
        <v>800000</v>
      </c>
      <c r="O699" s="223">
        <f t="shared" si="367"/>
        <v>0</v>
      </c>
      <c r="P699" s="224">
        <f t="shared" si="367"/>
        <v>800000</v>
      </c>
      <c r="Q699" s="64">
        <f t="shared" si="367"/>
        <v>800000</v>
      </c>
      <c r="R699" s="223">
        <f t="shared" si="367"/>
        <v>0</v>
      </c>
      <c r="S699" s="223">
        <f t="shared" si="367"/>
        <v>0</v>
      </c>
      <c r="T699" s="224">
        <f t="shared" si="367"/>
        <v>800000</v>
      </c>
      <c r="U699" s="225">
        <f t="shared" si="367"/>
        <v>800000</v>
      </c>
      <c r="V699" s="225">
        <f t="shared" si="367"/>
        <v>800000</v>
      </c>
      <c r="W699" s="223">
        <f t="shared" si="367"/>
        <v>0</v>
      </c>
      <c r="X699" s="223">
        <f t="shared" si="367"/>
        <v>0</v>
      </c>
      <c r="Y699" s="224">
        <f t="shared" si="367"/>
        <v>800000</v>
      </c>
      <c r="Z699" s="225">
        <f t="shared" si="367"/>
        <v>800000</v>
      </c>
      <c r="AA699" s="224">
        <f t="shared" si="367"/>
        <v>0</v>
      </c>
      <c r="AB699" s="224">
        <f t="shared" si="367"/>
        <v>800000</v>
      </c>
    </row>
    <row r="700" spans="1:28" s="100" customFormat="1" ht="25.5" x14ac:dyDescent="0.2">
      <c r="A700" s="212" t="s">
        <v>21</v>
      </c>
      <c r="B700" s="411">
        <v>334</v>
      </c>
      <c r="C700" s="59" t="s">
        <v>74</v>
      </c>
      <c r="D700" s="58" t="s">
        <v>72</v>
      </c>
      <c r="E700" s="103" t="s">
        <v>69</v>
      </c>
      <c r="F700" s="70" t="s">
        <v>137</v>
      </c>
      <c r="G700" s="66" t="s">
        <v>135</v>
      </c>
      <c r="H700" s="66" t="s">
        <v>135</v>
      </c>
      <c r="I700" s="71" t="s">
        <v>277</v>
      </c>
      <c r="J700" s="67" t="s">
        <v>135</v>
      </c>
      <c r="K700" s="372" t="s">
        <v>149</v>
      </c>
      <c r="L700" s="64">
        <f t="shared" si="367"/>
        <v>600000</v>
      </c>
      <c r="M700" s="65">
        <f t="shared" si="367"/>
        <v>0</v>
      </c>
      <c r="N700" s="224">
        <f t="shared" si="367"/>
        <v>800000</v>
      </c>
      <c r="O700" s="224">
        <f t="shared" si="367"/>
        <v>0</v>
      </c>
      <c r="P700" s="224">
        <f t="shared" si="367"/>
        <v>800000</v>
      </c>
      <c r="Q700" s="223">
        <f t="shared" si="367"/>
        <v>800000</v>
      </c>
      <c r="R700" s="224">
        <f t="shared" si="367"/>
        <v>0</v>
      </c>
      <c r="S700" s="224">
        <f t="shared" si="367"/>
        <v>0</v>
      </c>
      <c r="T700" s="224">
        <f t="shared" si="367"/>
        <v>800000</v>
      </c>
      <c r="U700" s="225">
        <f t="shared" si="367"/>
        <v>800000</v>
      </c>
      <c r="V700" s="224">
        <f t="shared" si="367"/>
        <v>800000</v>
      </c>
      <c r="W700" s="223">
        <f t="shared" si="367"/>
        <v>0</v>
      </c>
      <c r="X700" s="223">
        <f t="shared" si="367"/>
        <v>0</v>
      </c>
      <c r="Y700" s="224">
        <f t="shared" si="367"/>
        <v>800000</v>
      </c>
      <c r="Z700" s="225">
        <f t="shared" si="367"/>
        <v>800000</v>
      </c>
      <c r="AA700" s="224">
        <f t="shared" si="367"/>
        <v>0</v>
      </c>
      <c r="AB700" s="224">
        <f t="shared" si="367"/>
        <v>800000</v>
      </c>
    </row>
    <row r="701" spans="1:28" s="100" customFormat="1" x14ac:dyDescent="0.2">
      <c r="A701" s="212" t="s">
        <v>22</v>
      </c>
      <c r="B701" s="411">
        <v>334</v>
      </c>
      <c r="C701" s="59" t="s">
        <v>74</v>
      </c>
      <c r="D701" s="58" t="s">
        <v>72</v>
      </c>
      <c r="E701" s="103" t="s">
        <v>69</v>
      </c>
      <c r="F701" s="70" t="s">
        <v>137</v>
      </c>
      <c r="G701" s="66" t="s">
        <v>135</v>
      </c>
      <c r="H701" s="66" t="s">
        <v>135</v>
      </c>
      <c r="I701" s="71" t="s">
        <v>277</v>
      </c>
      <c r="J701" s="67" t="s">
        <v>135</v>
      </c>
      <c r="K701" s="372" t="s">
        <v>23</v>
      </c>
      <c r="L701" s="64">
        <v>600000</v>
      </c>
      <c r="M701" s="65">
        <v>0</v>
      </c>
      <c r="N701" s="224">
        <v>800000</v>
      </c>
      <c r="O701" s="224">
        <v>0</v>
      </c>
      <c r="P701" s="224">
        <v>800000</v>
      </c>
      <c r="Q701" s="223">
        <v>800000</v>
      </c>
      <c r="R701" s="224">
        <v>0</v>
      </c>
      <c r="S701" s="224">
        <v>0</v>
      </c>
      <c r="T701" s="224">
        <v>800000</v>
      </c>
      <c r="U701" s="225">
        <v>800000</v>
      </c>
      <c r="V701" s="224">
        <v>800000</v>
      </c>
      <c r="W701" s="223">
        <v>0</v>
      </c>
      <c r="X701" s="223">
        <v>0</v>
      </c>
      <c r="Y701" s="224">
        <v>800000</v>
      </c>
      <c r="Z701" s="225">
        <v>800000</v>
      </c>
      <c r="AA701" s="224">
        <v>0</v>
      </c>
      <c r="AB701" s="224">
        <v>800000</v>
      </c>
    </row>
    <row r="702" spans="1:28" s="100" customFormat="1" x14ac:dyDescent="0.2">
      <c r="A702" s="207" t="s">
        <v>180</v>
      </c>
      <c r="B702" s="58" t="s">
        <v>119</v>
      </c>
      <c r="C702" s="59" t="s">
        <v>74</v>
      </c>
      <c r="D702" s="58" t="s">
        <v>74</v>
      </c>
      <c r="E702" s="77"/>
      <c r="F702" s="79"/>
      <c r="G702" s="66"/>
      <c r="H702" s="66"/>
      <c r="I702" s="79"/>
      <c r="J702" s="67"/>
      <c r="K702" s="372"/>
      <c r="L702" s="64">
        <f t="shared" ref="L702:P704" si="368">L703</f>
        <v>70000</v>
      </c>
      <c r="M702" s="65">
        <f t="shared" si="368"/>
        <v>0</v>
      </c>
      <c r="N702" s="224">
        <f t="shared" si="368"/>
        <v>0</v>
      </c>
      <c r="O702" s="224">
        <f t="shared" si="368"/>
        <v>0</v>
      </c>
      <c r="P702" s="224">
        <f t="shared" si="368"/>
        <v>100000</v>
      </c>
      <c r="Q702" s="223">
        <f t="shared" ref="Q702:AB703" si="369">Q703</f>
        <v>900000</v>
      </c>
      <c r="R702" s="224">
        <f t="shared" si="369"/>
        <v>0</v>
      </c>
      <c r="S702" s="224">
        <f t="shared" si="369"/>
        <v>566500</v>
      </c>
      <c r="T702" s="224">
        <f t="shared" si="369"/>
        <v>666500</v>
      </c>
      <c r="U702" s="225">
        <f t="shared" si="369"/>
        <v>300000</v>
      </c>
      <c r="V702" s="224">
        <f t="shared" si="369"/>
        <v>900000</v>
      </c>
      <c r="W702" s="223">
        <f t="shared" si="369"/>
        <v>0</v>
      </c>
      <c r="X702" s="223">
        <f t="shared" si="369"/>
        <v>0</v>
      </c>
      <c r="Y702" s="224">
        <f t="shared" si="369"/>
        <v>300000</v>
      </c>
      <c r="Z702" s="225">
        <f t="shared" si="369"/>
        <v>300000</v>
      </c>
      <c r="AA702" s="224">
        <f t="shared" si="369"/>
        <v>0</v>
      </c>
      <c r="AB702" s="224">
        <f t="shared" si="369"/>
        <v>300000</v>
      </c>
    </row>
    <row r="703" spans="1:28" s="100" customFormat="1" ht="38.25" x14ac:dyDescent="0.2">
      <c r="A703" s="226" t="s">
        <v>379</v>
      </c>
      <c r="B703" s="58" t="s">
        <v>119</v>
      </c>
      <c r="C703" s="59" t="s">
        <v>74</v>
      </c>
      <c r="D703" s="58" t="s">
        <v>74</v>
      </c>
      <c r="E703" s="104" t="s">
        <v>74</v>
      </c>
      <c r="F703" s="81" t="s">
        <v>135</v>
      </c>
      <c r="G703" s="66" t="s">
        <v>135</v>
      </c>
      <c r="H703" s="66" t="s">
        <v>135</v>
      </c>
      <c r="I703" s="81" t="s">
        <v>136</v>
      </c>
      <c r="J703" s="67" t="s">
        <v>135</v>
      </c>
      <c r="K703" s="292"/>
      <c r="L703" s="68">
        <f t="shared" si="368"/>
        <v>70000</v>
      </c>
      <c r="M703" s="69">
        <f t="shared" si="368"/>
        <v>0</v>
      </c>
      <c r="N703" s="216">
        <f t="shared" si="368"/>
        <v>0</v>
      </c>
      <c r="O703" s="216">
        <f t="shared" si="368"/>
        <v>0</v>
      </c>
      <c r="P703" s="216">
        <f t="shared" si="368"/>
        <v>100000</v>
      </c>
      <c r="Q703" s="215">
        <f t="shared" si="369"/>
        <v>900000</v>
      </c>
      <c r="R703" s="216">
        <f t="shared" si="369"/>
        <v>0</v>
      </c>
      <c r="S703" s="216">
        <f t="shared" si="369"/>
        <v>566500</v>
      </c>
      <c r="T703" s="216">
        <f t="shared" si="369"/>
        <v>666500</v>
      </c>
      <c r="U703" s="217">
        <f t="shared" si="369"/>
        <v>300000</v>
      </c>
      <c r="V703" s="216">
        <f t="shared" si="369"/>
        <v>900000</v>
      </c>
      <c r="W703" s="215">
        <f t="shared" si="369"/>
        <v>0</v>
      </c>
      <c r="X703" s="215">
        <f t="shared" si="369"/>
        <v>0</v>
      </c>
      <c r="Y703" s="216">
        <f t="shared" si="369"/>
        <v>300000</v>
      </c>
      <c r="Z703" s="217">
        <f t="shared" si="369"/>
        <v>300000</v>
      </c>
      <c r="AA703" s="216">
        <f t="shared" si="369"/>
        <v>0</v>
      </c>
      <c r="AB703" s="216">
        <f t="shared" si="369"/>
        <v>300000</v>
      </c>
    </row>
    <row r="704" spans="1:28" s="100" customFormat="1" ht="38.25" x14ac:dyDescent="0.2">
      <c r="A704" s="258" t="s">
        <v>381</v>
      </c>
      <c r="B704" s="411">
        <v>334</v>
      </c>
      <c r="C704" s="78" t="s">
        <v>74</v>
      </c>
      <c r="D704" s="77" t="s">
        <v>74</v>
      </c>
      <c r="E704" s="77" t="s">
        <v>74</v>
      </c>
      <c r="F704" s="79" t="s">
        <v>133</v>
      </c>
      <c r="G704" s="66" t="s">
        <v>135</v>
      </c>
      <c r="H704" s="66" t="s">
        <v>135</v>
      </c>
      <c r="I704" s="79" t="s">
        <v>136</v>
      </c>
      <c r="J704" s="67" t="s">
        <v>135</v>
      </c>
      <c r="K704" s="291"/>
      <c r="L704" s="68">
        <f t="shared" si="368"/>
        <v>70000</v>
      </c>
      <c r="M704" s="69">
        <f t="shared" si="368"/>
        <v>0</v>
      </c>
      <c r="N704" s="216">
        <f>N705</f>
        <v>0</v>
      </c>
      <c r="O704" s="216">
        <f>O705</f>
        <v>0</v>
      </c>
      <c r="P704" s="216">
        <f>P705+P708</f>
        <v>100000</v>
      </c>
      <c r="Q704" s="216">
        <f t="shared" ref="Q704:AB704" si="370">Q705+Q708</f>
        <v>900000</v>
      </c>
      <c r="R704" s="216">
        <f t="shared" si="370"/>
        <v>0</v>
      </c>
      <c r="S704" s="216">
        <f t="shared" si="370"/>
        <v>566500</v>
      </c>
      <c r="T704" s="216">
        <f t="shared" si="370"/>
        <v>666500</v>
      </c>
      <c r="U704" s="217">
        <f t="shared" si="370"/>
        <v>300000</v>
      </c>
      <c r="V704" s="216">
        <f t="shared" si="370"/>
        <v>900000</v>
      </c>
      <c r="W704" s="216">
        <f t="shared" si="370"/>
        <v>0</v>
      </c>
      <c r="X704" s="215">
        <f t="shared" si="370"/>
        <v>0</v>
      </c>
      <c r="Y704" s="216">
        <f t="shared" si="370"/>
        <v>300000</v>
      </c>
      <c r="Z704" s="217">
        <f t="shared" si="370"/>
        <v>300000</v>
      </c>
      <c r="AA704" s="216">
        <f t="shared" si="370"/>
        <v>0</v>
      </c>
      <c r="AB704" s="216">
        <f t="shared" si="370"/>
        <v>300000</v>
      </c>
    </row>
    <row r="705" spans="1:28" s="100" customFormat="1" x14ac:dyDescent="0.2">
      <c r="A705" s="212" t="s">
        <v>224</v>
      </c>
      <c r="B705" s="58" t="s">
        <v>119</v>
      </c>
      <c r="C705" s="59" t="s">
        <v>74</v>
      </c>
      <c r="D705" s="60" t="s">
        <v>74</v>
      </c>
      <c r="E705" s="77" t="s">
        <v>74</v>
      </c>
      <c r="F705" s="79" t="s">
        <v>133</v>
      </c>
      <c r="G705" s="66" t="s">
        <v>135</v>
      </c>
      <c r="H705" s="66" t="s">
        <v>135</v>
      </c>
      <c r="I705" s="79" t="s">
        <v>14</v>
      </c>
      <c r="J705" s="67" t="s">
        <v>135</v>
      </c>
      <c r="K705" s="291"/>
      <c r="L705" s="68">
        <f t="shared" ref="L705:Z705" si="371">L707</f>
        <v>70000</v>
      </c>
      <c r="M705" s="69">
        <f t="shared" si="371"/>
        <v>0</v>
      </c>
      <c r="N705" s="216">
        <f t="shared" si="371"/>
        <v>0</v>
      </c>
      <c r="O705" s="216">
        <f t="shared" si="371"/>
        <v>0</v>
      </c>
      <c r="P705" s="216">
        <f t="shared" si="371"/>
        <v>100000</v>
      </c>
      <c r="Q705" s="215">
        <f t="shared" si="371"/>
        <v>300000</v>
      </c>
      <c r="R705" s="216">
        <f t="shared" si="371"/>
        <v>0</v>
      </c>
      <c r="S705" s="216">
        <f>S707</f>
        <v>-100000</v>
      </c>
      <c r="T705" s="216">
        <f>T707</f>
        <v>0</v>
      </c>
      <c r="U705" s="217">
        <f t="shared" si="371"/>
        <v>300000</v>
      </c>
      <c r="V705" s="216">
        <f t="shared" si="371"/>
        <v>300000</v>
      </c>
      <c r="W705" s="215">
        <f t="shared" si="371"/>
        <v>0</v>
      </c>
      <c r="X705" s="215">
        <f>X707</f>
        <v>0</v>
      </c>
      <c r="Y705" s="216">
        <f>Y707</f>
        <v>300000</v>
      </c>
      <c r="Z705" s="217">
        <f t="shared" si="371"/>
        <v>300000</v>
      </c>
      <c r="AA705" s="216">
        <f>AA707</f>
        <v>0</v>
      </c>
      <c r="AB705" s="216">
        <f>AB707</f>
        <v>300000</v>
      </c>
    </row>
    <row r="706" spans="1:28" s="100" customFormat="1" ht="25.5" x14ac:dyDescent="0.2">
      <c r="A706" s="212" t="s">
        <v>21</v>
      </c>
      <c r="B706" s="58" t="s">
        <v>119</v>
      </c>
      <c r="C706" s="59" t="s">
        <v>74</v>
      </c>
      <c r="D706" s="60" t="s">
        <v>74</v>
      </c>
      <c r="E706" s="77" t="s">
        <v>74</v>
      </c>
      <c r="F706" s="79" t="s">
        <v>133</v>
      </c>
      <c r="G706" s="66" t="s">
        <v>135</v>
      </c>
      <c r="H706" s="66" t="s">
        <v>135</v>
      </c>
      <c r="I706" s="79" t="s">
        <v>14</v>
      </c>
      <c r="J706" s="67" t="s">
        <v>135</v>
      </c>
      <c r="K706" s="291" t="s">
        <v>149</v>
      </c>
      <c r="L706" s="68">
        <f t="shared" ref="L706:AB706" si="372">L707</f>
        <v>70000</v>
      </c>
      <c r="M706" s="69">
        <f t="shared" si="372"/>
        <v>0</v>
      </c>
      <c r="N706" s="216">
        <f t="shared" si="372"/>
        <v>0</v>
      </c>
      <c r="O706" s="216">
        <f t="shared" si="372"/>
        <v>0</v>
      </c>
      <c r="P706" s="216">
        <f t="shared" si="372"/>
        <v>100000</v>
      </c>
      <c r="Q706" s="215">
        <f t="shared" si="372"/>
        <v>300000</v>
      </c>
      <c r="R706" s="216">
        <f t="shared" si="372"/>
        <v>0</v>
      </c>
      <c r="S706" s="216">
        <f t="shared" si="372"/>
        <v>-100000</v>
      </c>
      <c r="T706" s="216">
        <f t="shared" si="372"/>
        <v>0</v>
      </c>
      <c r="U706" s="217">
        <f t="shared" si="372"/>
        <v>300000</v>
      </c>
      <c r="V706" s="216">
        <f t="shared" si="372"/>
        <v>300000</v>
      </c>
      <c r="W706" s="215">
        <f t="shared" si="372"/>
        <v>0</v>
      </c>
      <c r="X706" s="215">
        <f t="shared" si="372"/>
        <v>0</v>
      </c>
      <c r="Y706" s="216">
        <f t="shared" si="372"/>
        <v>300000</v>
      </c>
      <c r="Z706" s="217">
        <f t="shared" si="372"/>
        <v>300000</v>
      </c>
      <c r="AA706" s="216">
        <f t="shared" si="372"/>
        <v>0</v>
      </c>
      <c r="AB706" s="216">
        <f t="shared" si="372"/>
        <v>300000</v>
      </c>
    </row>
    <row r="707" spans="1:28" s="100" customFormat="1" x14ac:dyDescent="0.2">
      <c r="A707" s="212" t="s">
        <v>22</v>
      </c>
      <c r="B707" s="58" t="s">
        <v>119</v>
      </c>
      <c r="C707" s="59" t="s">
        <v>74</v>
      </c>
      <c r="D707" s="60" t="s">
        <v>74</v>
      </c>
      <c r="E707" s="77" t="s">
        <v>74</v>
      </c>
      <c r="F707" s="79" t="s">
        <v>133</v>
      </c>
      <c r="G707" s="66" t="s">
        <v>135</v>
      </c>
      <c r="H707" s="66" t="s">
        <v>135</v>
      </c>
      <c r="I707" s="79" t="s">
        <v>14</v>
      </c>
      <c r="J707" s="67" t="s">
        <v>135</v>
      </c>
      <c r="K707" s="291" t="s">
        <v>23</v>
      </c>
      <c r="L707" s="68">
        <v>70000</v>
      </c>
      <c r="M707" s="69">
        <v>0</v>
      </c>
      <c r="N707" s="216">
        <v>0</v>
      </c>
      <c r="O707" s="216">
        <v>0</v>
      </c>
      <c r="P707" s="216">
        <v>100000</v>
      </c>
      <c r="Q707" s="215">
        <v>300000</v>
      </c>
      <c r="R707" s="216">
        <v>0</v>
      </c>
      <c r="S707" s="216">
        <v>-100000</v>
      </c>
      <c r="T707" s="216">
        <f>S707+P707</f>
        <v>0</v>
      </c>
      <c r="U707" s="217">
        <v>300000</v>
      </c>
      <c r="V707" s="216">
        <v>300000</v>
      </c>
      <c r="W707" s="215">
        <v>0</v>
      </c>
      <c r="X707" s="215">
        <v>0</v>
      </c>
      <c r="Y707" s="216">
        <v>300000</v>
      </c>
      <c r="Z707" s="217">
        <v>300000</v>
      </c>
      <c r="AA707" s="216">
        <v>0</v>
      </c>
      <c r="AB707" s="216">
        <v>300000</v>
      </c>
    </row>
    <row r="708" spans="1:28" s="100" customFormat="1" ht="57" customHeight="1" x14ac:dyDescent="0.2">
      <c r="A708" s="212" t="s">
        <v>455</v>
      </c>
      <c r="B708" s="58" t="s">
        <v>119</v>
      </c>
      <c r="C708" s="59" t="s">
        <v>74</v>
      </c>
      <c r="D708" s="60" t="s">
        <v>74</v>
      </c>
      <c r="E708" s="77" t="s">
        <v>74</v>
      </c>
      <c r="F708" s="79" t="s">
        <v>133</v>
      </c>
      <c r="G708" s="66" t="s">
        <v>135</v>
      </c>
      <c r="H708" s="66" t="s">
        <v>135</v>
      </c>
      <c r="I708" s="79" t="s">
        <v>454</v>
      </c>
      <c r="J708" s="67" t="s">
        <v>135</v>
      </c>
      <c r="K708" s="291"/>
      <c r="L708" s="220">
        <f t="shared" ref="L708:AA709" si="373">L709</f>
        <v>370000</v>
      </c>
      <c r="M708" s="46">
        <f t="shared" si="373"/>
        <v>0</v>
      </c>
      <c r="N708" s="221">
        <f t="shared" si="373"/>
        <v>0</v>
      </c>
      <c r="O708" s="221">
        <f t="shared" si="373"/>
        <v>0</v>
      </c>
      <c r="P708" s="221">
        <f t="shared" si="373"/>
        <v>0</v>
      </c>
      <c r="Q708" s="221">
        <f t="shared" si="373"/>
        <v>600000</v>
      </c>
      <c r="R708" s="221">
        <f t="shared" si="373"/>
        <v>0</v>
      </c>
      <c r="S708" s="221">
        <f t="shared" si="373"/>
        <v>666500</v>
      </c>
      <c r="T708" s="221">
        <f t="shared" si="373"/>
        <v>666500</v>
      </c>
      <c r="U708" s="222">
        <f t="shared" si="373"/>
        <v>0</v>
      </c>
      <c r="V708" s="222">
        <f t="shared" si="373"/>
        <v>600000</v>
      </c>
      <c r="W708" s="222">
        <f t="shared" si="373"/>
        <v>0</v>
      </c>
      <c r="X708" s="46">
        <f t="shared" si="373"/>
        <v>0</v>
      </c>
      <c r="Y708" s="221">
        <f t="shared" si="373"/>
        <v>0</v>
      </c>
      <c r="Z708" s="222">
        <f t="shared" si="373"/>
        <v>0</v>
      </c>
      <c r="AA708" s="222">
        <f t="shared" si="373"/>
        <v>0</v>
      </c>
      <c r="AB708" s="222">
        <f>AB709</f>
        <v>0</v>
      </c>
    </row>
    <row r="709" spans="1:28" s="100" customFormat="1" ht="25.5" x14ac:dyDescent="0.2">
      <c r="A709" s="212" t="s">
        <v>21</v>
      </c>
      <c r="B709" s="58" t="s">
        <v>119</v>
      </c>
      <c r="C709" s="59" t="s">
        <v>74</v>
      </c>
      <c r="D709" s="60" t="s">
        <v>74</v>
      </c>
      <c r="E709" s="77" t="s">
        <v>74</v>
      </c>
      <c r="F709" s="79" t="s">
        <v>133</v>
      </c>
      <c r="G709" s="66" t="s">
        <v>135</v>
      </c>
      <c r="H709" s="66" t="s">
        <v>135</v>
      </c>
      <c r="I709" s="79" t="s">
        <v>454</v>
      </c>
      <c r="J709" s="67" t="s">
        <v>135</v>
      </c>
      <c r="K709" s="291" t="s">
        <v>149</v>
      </c>
      <c r="L709" s="220">
        <f t="shared" si="373"/>
        <v>370000</v>
      </c>
      <c r="M709" s="46">
        <f t="shared" si="373"/>
        <v>0</v>
      </c>
      <c r="N709" s="221">
        <f t="shared" si="373"/>
        <v>0</v>
      </c>
      <c r="O709" s="221">
        <f t="shared" si="373"/>
        <v>0</v>
      </c>
      <c r="P709" s="221">
        <f t="shared" si="373"/>
        <v>0</v>
      </c>
      <c r="Q709" s="221">
        <f t="shared" si="373"/>
        <v>600000</v>
      </c>
      <c r="R709" s="221">
        <f t="shared" si="373"/>
        <v>0</v>
      </c>
      <c r="S709" s="221">
        <f t="shared" si="373"/>
        <v>666500</v>
      </c>
      <c r="T709" s="221">
        <f t="shared" si="373"/>
        <v>666500</v>
      </c>
      <c r="U709" s="222">
        <f t="shared" si="373"/>
        <v>0</v>
      </c>
      <c r="V709" s="222">
        <f t="shared" si="373"/>
        <v>600000</v>
      </c>
      <c r="W709" s="222">
        <f t="shared" si="373"/>
        <v>0</v>
      </c>
      <c r="X709" s="46">
        <f t="shared" si="373"/>
        <v>0</v>
      </c>
      <c r="Y709" s="221">
        <f t="shared" si="373"/>
        <v>0</v>
      </c>
      <c r="Z709" s="222">
        <f t="shared" si="373"/>
        <v>0</v>
      </c>
      <c r="AA709" s="222">
        <f>AA710</f>
        <v>0</v>
      </c>
      <c r="AB709" s="222">
        <f>AB710</f>
        <v>0</v>
      </c>
    </row>
    <row r="710" spans="1:28" s="100" customFormat="1" x14ac:dyDescent="0.2">
      <c r="A710" s="212" t="s">
        <v>22</v>
      </c>
      <c r="B710" s="58" t="s">
        <v>119</v>
      </c>
      <c r="C710" s="59" t="s">
        <v>74</v>
      </c>
      <c r="D710" s="60" t="s">
        <v>74</v>
      </c>
      <c r="E710" s="77" t="s">
        <v>74</v>
      </c>
      <c r="F710" s="79" t="s">
        <v>133</v>
      </c>
      <c r="G710" s="66" t="s">
        <v>135</v>
      </c>
      <c r="H710" s="66" t="s">
        <v>135</v>
      </c>
      <c r="I710" s="79" t="s">
        <v>454</v>
      </c>
      <c r="J710" s="67" t="s">
        <v>135</v>
      </c>
      <c r="K710" s="291" t="s">
        <v>23</v>
      </c>
      <c r="L710" s="220">
        <f>200000+70000+100000</f>
        <v>370000</v>
      </c>
      <c r="M710" s="46">
        <v>0</v>
      </c>
      <c r="N710" s="221">
        <v>0</v>
      </c>
      <c r="O710" s="221">
        <v>0</v>
      </c>
      <c r="P710" s="221">
        <v>0</v>
      </c>
      <c r="Q710" s="221">
        <v>600000</v>
      </c>
      <c r="R710" s="221">
        <v>0</v>
      </c>
      <c r="S710" s="221">
        <f>566500+100000</f>
        <v>666500</v>
      </c>
      <c r="T710" s="221">
        <f>S710</f>
        <v>666500</v>
      </c>
      <c r="U710" s="222">
        <v>0</v>
      </c>
      <c r="V710" s="222">
        <v>600000</v>
      </c>
      <c r="W710" s="222">
        <v>0</v>
      </c>
      <c r="X710" s="46">
        <v>0</v>
      </c>
      <c r="Y710" s="221">
        <v>0</v>
      </c>
      <c r="Z710" s="222">
        <v>0</v>
      </c>
      <c r="AA710" s="222">
        <v>0</v>
      </c>
      <c r="AB710" s="222">
        <v>0</v>
      </c>
    </row>
    <row r="711" spans="1:28" s="100" customFormat="1" x14ac:dyDescent="0.2">
      <c r="A711" s="207" t="s">
        <v>36</v>
      </c>
      <c r="B711" s="58" t="s">
        <v>119</v>
      </c>
      <c r="C711" s="59" t="s">
        <v>75</v>
      </c>
      <c r="D711" s="58"/>
      <c r="E711" s="58"/>
      <c r="F711" s="60"/>
      <c r="G711" s="66"/>
      <c r="H711" s="66"/>
      <c r="I711" s="60"/>
      <c r="J711" s="76"/>
      <c r="K711" s="408"/>
      <c r="L711" s="64" t="e">
        <f t="shared" ref="L711:AB711" si="374">L712+L771</f>
        <v>#REF!</v>
      </c>
      <c r="M711" s="65" t="e">
        <f t="shared" si="374"/>
        <v>#REF!</v>
      </c>
      <c r="N711" s="224">
        <f t="shared" si="374"/>
        <v>198529148.58000001</v>
      </c>
      <c r="O711" s="224">
        <f t="shared" si="374"/>
        <v>95268.86</v>
      </c>
      <c r="P711" s="224">
        <f t="shared" si="374"/>
        <v>222283973</v>
      </c>
      <c r="Q711" s="223">
        <f t="shared" si="374"/>
        <v>211824107.31</v>
      </c>
      <c r="R711" s="224">
        <f t="shared" si="374"/>
        <v>-70786.55</v>
      </c>
      <c r="S711" s="224">
        <f t="shared" si="374"/>
        <v>4949049.62</v>
      </c>
      <c r="T711" s="224">
        <f t="shared" si="374"/>
        <v>227233022.62</v>
      </c>
      <c r="U711" s="225">
        <f t="shared" si="374"/>
        <v>207273320.76000002</v>
      </c>
      <c r="V711" s="224">
        <f t="shared" si="374"/>
        <v>202252633.58000001</v>
      </c>
      <c r="W711" s="223">
        <f t="shared" si="374"/>
        <v>-33268.559999999998</v>
      </c>
      <c r="X711" s="223">
        <f t="shared" si="374"/>
        <v>0</v>
      </c>
      <c r="Y711" s="224">
        <f t="shared" si="374"/>
        <v>207273320.76000002</v>
      </c>
      <c r="Z711" s="225">
        <f t="shared" si="374"/>
        <v>201339365.02000001</v>
      </c>
      <c r="AA711" s="224">
        <f t="shared" si="374"/>
        <v>0</v>
      </c>
      <c r="AB711" s="224">
        <f t="shared" si="374"/>
        <v>201339365.02000001</v>
      </c>
    </row>
    <row r="712" spans="1:28" s="100" customFormat="1" x14ac:dyDescent="0.2">
      <c r="A712" s="207" t="s">
        <v>92</v>
      </c>
      <c r="B712" s="58" t="s">
        <v>119</v>
      </c>
      <c r="C712" s="59" t="s">
        <v>75</v>
      </c>
      <c r="D712" s="58" t="s">
        <v>69</v>
      </c>
      <c r="E712" s="58"/>
      <c r="F712" s="60"/>
      <c r="G712" s="66"/>
      <c r="H712" s="66"/>
      <c r="I712" s="60"/>
      <c r="J712" s="76"/>
      <c r="K712" s="408"/>
      <c r="L712" s="64" t="e">
        <f t="shared" ref="L712:O712" si="375">L713</f>
        <v>#REF!</v>
      </c>
      <c r="M712" s="65" t="e">
        <f t="shared" si="375"/>
        <v>#REF!</v>
      </c>
      <c r="N712" s="224">
        <f t="shared" si="375"/>
        <v>189830587.84</v>
      </c>
      <c r="O712" s="224">
        <f t="shared" si="375"/>
        <v>95268.86</v>
      </c>
      <c r="P712" s="224">
        <f>P713+P767</f>
        <v>213585412.25999999</v>
      </c>
      <c r="Q712" s="224">
        <f t="shared" ref="Q712:AB712" si="376">Q713+Q767</f>
        <v>203125546.56999999</v>
      </c>
      <c r="R712" s="224">
        <f t="shared" si="376"/>
        <v>-70786.55</v>
      </c>
      <c r="S712" s="224">
        <f t="shared" si="376"/>
        <v>4949049.62</v>
      </c>
      <c r="T712" s="224">
        <f t="shared" si="376"/>
        <v>218534461.88</v>
      </c>
      <c r="U712" s="225">
        <f t="shared" si="376"/>
        <v>198574760.02000001</v>
      </c>
      <c r="V712" s="224">
        <f t="shared" si="376"/>
        <v>193554072.84</v>
      </c>
      <c r="W712" s="224">
        <f t="shared" si="376"/>
        <v>-33268.559999999998</v>
      </c>
      <c r="X712" s="223">
        <f t="shared" si="376"/>
        <v>0</v>
      </c>
      <c r="Y712" s="224">
        <f t="shared" si="376"/>
        <v>198574760.02000001</v>
      </c>
      <c r="Z712" s="225">
        <f t="shared" si="376"/>
        <v>192640804.28</v>
      </c>
      <c r="AA712" s="224">
        <f t="shared" si="376"/>
        <v>0</v>
      </c>
      <c r="AB712" s="224">
        <f t="shared" si="376"/>
        <v>192640804.28</v>
      </c>
    </row>
    <row r="713" spans="1:28" ht="25.5" customHeight="1" x14ac:dyDescent="0.2">
      <c r="A713" s="212" t="s">
        <v>339</v>
      </c>
      <c r="B713" s="58" t="s">
        <v>119</v>
      </c>
      <c r="C713" s="59" t="s">
        <v>75</v>
      </c>
      <c r="D713" s="58" t="s">
        <v>69</v>
      </c>
      <c r="E713" s="104" t="s">
        <v>69</v>
      </c>
      <c r="F713" s="81" t="s">
        <v>135</v>
      </c>
      <c r="G713" s="66" t="s">
        <v>135</v>
      </c>
      <c r="H713" s="66" t="s">
        <v>135</v>
      </c>
      <c r="I713" s="81" t="s">
        <v>136</v>
      </c>
      <c r="J713" s="67" t="s">
        <v>135</v>
      </c>
      <c r="K713" s="292"/>
      <c r="L713" s="68" t="e">
        <f t="shared" ref="L713:Z713" si="377">L714+L745</f>
        <v>#REF!</v>
      </c>
      <c r="M713" s="69" t="e">
        <f t="shared" si="377"/>
        <v>#REF!</v>
      </c>
      <c r="N713" s="216">
        <f t="shared" si="377"/>
        <v>189830587.84</v>
      </c>
      <c r="O713" s="216">
        <f t="shared" si="377"/>
        <v>95268.86</v>
      </c>
      <c r="P713" s="216">
        <f>P714+P745</f>
        <v>213585412.25999999</v>
      </c>
      <c r="Q713" s="215">
        <f t="shared" si="377"/>
        <v>202005546.56999999</v>
      </c>
      <c r="R713" s="216">
        <f t="shared" si="377"/>
        <v>-70786.55</v>
      </c>
      <c r="S713" s="216">
        <f>S714+S745</f>
        <v>149795.62000000011</v>
      </c>
      <c r="T713" s="216">
        <f>T714+T745</f>
        <v>213735207.88</v>
      </c>
      <c r="U713" s="217">
        <f t="shared" si="377"/>
        <v>198574760.02000001</v>
      </c>
      <c r="V713" s="216">
        <f t="shared" si="377"/>
        <v>193334072.84</v>
      </c>
      <c r="W713" s="215">
        <f t="shared" si="377"/>
        <v>-33268.559999999998</v>
      </c>
      <c r="X713" s="215">
        <f>X714+X745</f>
        <v>0</v>
      </c>
      <c r="Y713" s="216">
        <f>Y714+Y745</f>
        <v>198574760.02000001</v>
      </c>
      <c r="Z713" s="217">
        <f t="shared" si="377"/>
        <v>192640804.28</v>
      </c>
      <c r="AA713" s="216">
        <f>AA714+AA745</f>
        <v>0</v>
      </c>
      <c r="AB713" s="216">
        <f>AB714+AB745</f>
        <v>192640804.28</v>
      </c>
    </row>
    <row r="714" spans="1:28" ht="25.5" x14ac:dyDescent="0.2">
      <c r="A714" s="226" t="s">
        <v>341</v>
      </c>
      <c r="B714" s="58" t="s">
        <v>119</v>
      </c>
      <c r="C714" s="59" t="s">
        <v>75</v>
      </c>
      <c r="D714" s="58" t="s">
        <v>69</v>
      </c>
      <c r="E714" s="104" t="s">
        <v>69</v>
      </c>
      <c r="F714" s="81" t="s">
        <v>137</v>
      </c>
      <c r="G714" s="66" t="s">
        <v>135</v>
      </c>
      <c r="H714" s="66" t="s">
        <v>135</v>
      </c>
      <c r="I714" s="81" t="s">
        <v>136</v>
      </c>
      <c r="J714" s="67" t="s">
        <v>135</v>
      </c>
      <c r="K714" s="292"/>
      <c r="L714" s="68" t="e">
        <f>L718+L721+#REF!+L724+L715+#REF!+#REF!+L727</f>
        <v>#REF!</v>
      </c>
      <c r="M714" s="69" t="e">
        <f>M718+M721+#REF!+M724+M715+#REF!+#REF!+M727</f>
        <v>#REF!</v>
      </c>
      <c r="N714" s="216">
        <f>N718+N721+N724+N715+N727+N730</f>
        <v>139159100</v>
      </c>
      <c r="O714" s="216">
        <f>O718+O721+O724+O715+O727+O730</f>
        <v>0</v>
      </c>
      <c r="P714" s="216">
        <f>P723+P720+P725+P732+P738+P741+P744+P734</f>
        <v>141241655.56</v>
      </c>
      <c r="Q714" s="216">
        <f t="shared" ref="Q714:AB714" si="378">Q723+Q720+Q725+Q732+Q738+Q741+Q744+Q734</f>
        <v>145912200</v>
      </c>
      <c r="R714" s="216">
        <f t="shared" si="378"/>
        <v>0</v>
      </c>
      <c r="S714" s="216">
        <f t="shared" si="378"/>
        <v>-45000</v>
      </c>
      <c r="T714" s="216">
        <f t="shared" si="378"/>
        <v>141196655.56</v>
      </c>
      <c r="U714" s="217">
        <f t="shared" si="378"/>
        <v>144792200</v>
      </c>
      <c r="V714" s="216">
        <f t="shared" si="378"/>
        <v>140291000</v>
      </c>
      <c r="W714" s="216">
        <f t="shared" si="378"/>
        <v>0</v>
      </c>
      <c r="X714" s="215">
        <f t="shared" si="378"/>
        <v>0</v>
      </c>
      <c r="Y714" s="216">
        <f t="shared" si="378"/>
        <v>144792200</v>
      </c>
      <c r="Z714" s="217">
        <f t="shared" si="378"/>
        <v>140071000</v>
      </c>
      <c r="AA714" s="216">
        <f t="shared" si="378"/>
        <v>0</v>
      </c>
      <c r="AB714" s="216">
        <f t="shared" si="378"/>
        <v>140071000</v>
      </c>
    </row>
    <row r="715" spans="1:28" ht="76.5" hidden="1" x14ac:dyDescent="0.2">
      <c r="A715" s="226" t="s">
        <v>218</v>
      </c>
      <c r="B715" s="411">
        <v>334</v>
      </c>
      <c r="C715" s="59" t="s">
        <v>75</v>
      </c>
      <c r="D715" s="58" t="s">
        <v>69</v>
      </c>
      <c r="E715" s="104" t="s">
        <v>69</v>
      </c>
      <c r="F715" s="81" t="s">
        <v>137</v>
      </c>
      <c r="G715" s="66" t="s">
        <v>135</v>
      </c>
      <c r="H715" s="66" t="s">
        <v>135</v>
      </c>
      <c r="I715" s="71" t="s">
        <v>226</v>
      </c>
      <c r="J715" s="67" t="s">
        <v>135</v>
      </c>
      <c r="K715" s="372"/>
      <c r="L715" s="68">
        <f t="shared" ref="L715:AB716" si="379">L716</f>
        <v>25153.82</v>
      </c>
      <c r="M715" s="69">
        <f t="shared" si="379"/>
        <v>0</v>
      </c>
      <c r="N715" s="216">
        <f t="shared" si="379"/>
        <v>0</v>
      </c>
      <c r="O715" s="216">
        <f t="shared" si="379"/>
        <v>0</v>
      </c>
      <c r="P715" s="216">
        <f t="shared" si="379"/>
        <v>0</v>
      </c>
      <c r="Q715" s="215">
        <f t="shared" si="379"/>
        <v>0</v>
      </c>
      <c r="R715" s="216">
        <f t="shared" si="379"/>
        <v>0</v>
      </c>
      <c r="S715" s="216">
        <f t="shared" si="379"/>
        <v>0</v>
      </c>
      <c r="T715" s="216">
        <f t="shared" si="379"/>
        <v>0</v>
      </c>
      <c r="U715" s="217">
        <f t="shared" si="379"/>
        <v>0</v>
      </c>
      <c r="V715" s="216">
        <f t="shared" si="379"/>
        <v>0</v>
      </c>
      <c r="W715" s="215">
        <f t="shared" si="379"/>
        <v>0</v>
      </c>
      <c r="X715" s="215">
        <f t="shared" si="379"/>
        <v>0</v>
      </c>
      <c r="Y715" s="216">
        <f t="shared" si="379"/>
        <v>0</v>
      </c>
      <c r="Z715" s="217">
        <f t="shared" si="379"/>
        <v>0</v>
      </c>
      <c r="AA715" s="216">
        <f t="shared" si="379"/>
        <v>0</v>
      </c>
      <c r="AB715" s="216">
        <f t="shared" si="379"/>
        <v>0</v>
      </c>
    </row>
    <row r="716" spans="1:28" ht="25.5" hidden="1" x14ac:dyDescent="0.2">
      <c r="A716" s="212" t="s">
        <v>21</v>
      </c>
      <c r="B716" s="411">
        <v>334</v>
      </c>
      <c r="C716" s="59" t="s">
        <v>75</v>
      </c>
      <c r="D716" s="58" t="s">
        <v>69</v>
      </c>
      <c r="E716" s="104" t="s">
        <v>69</v>
      </c>
      <c r="F716" s="81" t="s">
        <v>137</v>
      </c>
      <c r="G716" s="66" t="s">
        <v>135</v>
      </c>
      <c r="H716" s="66" t="s">
        <v>135</v>
      </c>
      <c r="I716" s="71" t="s">
        <v>226</v>
      </c>
      <c r="J716" s="67" t="s">
        <v>135</v>
      </c>
      <c r="K716" s="372">
        <v>600</v>
      </c>
      <c r="L716" s="68">
        <f t="shared" si="379"/>
        <v>25153.82</v>
      </c>
      <c r="M716" s="69">
        <f t="shared" si="379"/>
        <v>0</v>
      </c>
      <c r="N716" s="216">
        <f t="shared" si="379"/>
        <v>0</v>
      </c>
      <c r="O716" s="216">
        <f t="shared" si="379"/>
        <v>0</v>
      </c>
      <c r="P716" s="216">
        <f t="shared" si="379"/>
        <v>0</v>
      </c>
      <c r="Q716" s="215">
        <f t="shared" si="379"/>
        <v>0</v>
      </c>
      <c r="R716" s="216">
        <f t="shared" si="379"/>
        <v>0</v>
      </c>
      <c r="S716" s="216">
        <f t="shared" si="379"/>
        <v>0</v>
      </c>
      <c r="T716" s="216">
        <f t="shared" si="379"/>
        <v>0</v>
      </c>
      <c r="U716" s="217">
        <f t="shared" si="379"/>
        <v>0</v>
      </c>
      <c r="V716" s="216">
        <f t="shared" si="379"/>
        <v>0</v>
      </c>
      <c r="W716" s="215">
        <f t="shared" si="379"/>
        <v>0</v>
      </c>
      <c r="X716" s="215">
        <f t="shared" si="379"/>
        <v>0</v>
      </c>
      <c r="Y716" s="216">
        <f t="shared" si="379"/>
        <v>0</v>
      </c>
      <c r="Z716" s="217">
        <f t="shared" si="379"/>
        <v>0</v>
      </c>
      <c r="AA716" s="216">
        <f t="shared" si="379"/>
        <v>0</v>
      </c>
      <c r="AB716" s="216">
        <f t="shared" si="379"/>
        <v>0</v>
      </c>
    </row>
    <row r="717" spans="1:28" hidden="1" x14ac:dyDescent="0.2">
      <c r="A717" s="212" t="s">
        <v>22</v>
      </c>
      <c r="B717" s="411">
        <v>334</v>
      </c>
      <c r="C717" s="59" t="s">
        <v>75</v>
      </c>
      <c r="D717" s="58" t="s">
        <v>69</v>
      </c>
      <c r="E717" s="104" t="s">
        <v>69</v>
      </c>
      <c r="F717" s="81" t="s">
        <v>137</v>
      </c>
      <c r="G717" s="66" t="s">
        <v>135</v>
      </c>
      <c r="H717" s="66" t="s">
        <v>135</v>
      </c>
      <c r="I717" s="71" t="s">
        <v>226</v>
      </c>
      <c r="J717" s="67" t="s">
        <v>135</v>
      </c>
      <c r="K717" s="372" t="s">
        <v>23</v>
      </c>
      <c r="L717" s="68">
        <v>25153.82</v>
      </c>
      <c r="M717" s="69">
        <v>0</v>
      </c>
      <c r="N717" s="216">
        <v>0</v>
      </c>
      <c r="O717" s="216">
        <v>0</v>
      </c>
      <c r="P717" s="216">
        <v>0</v>
      </c>
      <c r="Q717" s="215">
        <v>0</v>
      </c>
      <c r="R717" s="216">
        <v>0</v>
      </c>
      <c r="S717" s="216">
        <v>0</v>
      </c>
      <c r="T717" s="216">
        <v>0</v>
      </c>
      <c r="U717" s="217">
        <v>0</v>
      </c>
      <c r="V717" s="216">
        <v>0</v>
      </c>
      <c r="W717" s="215">
        <v>0</v>
      </c>
      <c r="X717" s="215">
        <v>0</v>
      </c>
      <c r="Y717" s="216">
        <v>0</v>
      </c>
      <c r="Z717" s="217">
        <v>0</v>
      </c>
      <c r="AA717" s="216">
        <v>0</v>
      </c>
      <c r="AB717" s="216">
        <v>0</v>
      </c>
    </row>
    <row r="718" spans="1:28" ht="18" customHeight="1" x14ac:dyDescent="0.2">
      <c r="A718" s="212" t="s">
        <v>10</v>
      </c>
      <c r="B718" s="58" t="s">
        <v>119</v>
      </c>
      <c r="C718" s="59" t="s">
        <v>75</v>
      </c>
      <c r="D718" s="58" t="s">
        <v>69</v>
      </c>
      <c r="E718" s="104" t="s">
        <v>69</v>
      </c>
      <c r="F718" s="81" t="s">
        <v>137</v>
      </c>
      <c r="G718" s="66" t="s">
        <v>135</v>
      </c>
      <c r="H718" s="66" t="s">
        <v>135</v>
      </c>
      <c r="I718" s="81" t="s">
        <v>12</v>
      </c>
      <c r="J718" s="67" t="s">
        <v>135</v>
      </c>
      <c r="K718" s="292"/>
      <c r="L718" s="68" t="e">
        <f>#REF!+L719</f>
        <v>#REF!</v>
      </c>
      <c r="M718" s="69" t="e">
        <f>#REF!+M719</f>
        <v>#REF!</v>
      </c>
      <c r="N718" s="216">
        <f t="shared" ref="N718:AB719" si="380">N719</f>
        <v>0</v>
      </c>
      <c r="O718" s="216">
        <f t="shared" si="380"/>
        <v>0</v>
      </c>
      <c r="P718" s="216">
        <f t="shared" si="380"/>
        <v>0</v>
      </c>
      <c r="Q718" s="215">
        <f t="shared" si="380"/>
        <v>5633100</v>
      </c>
      <c r="R718" s="216">
        <f t="shared" si="380"/>
        <v>0</v>
      </c>
      <c r="S718" s="216">
        <f t="shared" si="380"/>
        <v>0</v>
      </c>
      <c r="T718" s="216">
        <f t="shared" si="380"/>
        <v>0</v>
      </c>
      <c r="U718" s="217">
        <f t="shared" si="380"/>
        <v>5633100</v>
      </c>
      <c r="V718" s="216">
        <f t="shared" si="380"/>
        <v>911900</v>
      </c>
      <c r="W718" s="215">
        <f t="shared" si="380"/>
        <v>0</v>
      </c>
      <c r="X718" s="215">
        <f t="shared" si="380"/>
        <v>0</v>
      </c>
      <c r="Y718" s="216">
        <f t="shared" si="380"/>
        <v>5633100</v>
      </c>
      <c r="Z718" s="217">
        <f t="shared" si="380"/>
        <v>911900</v>
      </c>
      <c r="AA718" s="216">
        <f t="shared" si="380"/>
        <v>0</v>
      </c>
      <c r="AB718" s="216">
        <f t="shared" si="380"/>
        <v>911900</v>
      </c>
    </row>
    <row r="719" spans="1:28" ht="25.5" x14ac:dyDescent="0.2">
      <c r="A719" s="212" t="s">
        <v>21</v>
      </c>
      <c r="B719" s="58" t="s">
        <v>119</v>
      </c>
      <c r="C719" s="59" t="s">
        <v>75</v>
      </c>
      <c r="D719" s="58" t="s">
        <v>69</v>
      </c>
      <c r="E719" s="103" t="s">
        <v>69</v>
      </c>
      <c r="F719" s="66" t="s">
        <v>137</v>
      </c>
      <c r="G719" s="66" t="s">
        <v>135</v>
      </c>
      <c r="H719" s="66" t="s">
        <v>135</v>
      </c>
      <c r="I719" s="81" t="s">
        <v>12</v>
      </c>
      <c r="J719" s="67" t="s">
        <v>135</v>
      </c>
      <c r="K719" s="372">
        <v>600</v>
      </c>
      <c r="L719" s="64">
        <f>L720</f>
        <v>494308</v>
      </c>
      <c r="M719" s="65">
        <f>M720</f>
        <v>0</v>
      </c>
      <c r="N719" s="224">
        <f t="shared" si="380"/>
        <v>0</v>
      </c>
      <c r="O719" s="224">
        <f t="shared" si="380"/>
        <v>0</v>
      </c>
      <c r="P719" s="224">
        <f t="shared" si="380"/>
        <v>0</v>
      </c>
      <c r="Q719" s="223">
        <f t="shared" si="380"/>
        <v>5633100</v>
      </c>
      <c r="R719" s="224">
        <f t="shared" si="380"/>
        <v>0</v>
      </c>
      <c r="S719" s="224">
        <f t="shared" si="380"/>
        <v>0</v>
      </c>
      <c r="T719" s="224">
        <f t="shared" si="380"/>
        <v>0</v>
      </c>
      <c r="U719" s="225">
        <f t="shared" si="380"/>
        <v>5633100</v>
      </c>
      <c r="V719" s="224">
        <f t="shared" si="380"/>
        <v>911900</v>
      </c>
      <c r="W719" s="223">
        <f t="shared" si="380"/>
        <v>0</v>
      </c>
      <c r="X719" s="223">
        <f t="shared" si="380"/>
        <v>0</v>
      </c>
      <c r="Y719" s="224">
        <f t="shared" si="380"/>
        <v>5633100</v>
      </c>
      <c r="Z719" s="225">
        <f t="shared" si="380"/>
        <v>911900</v>
      </c>
      <c r="AA719" s="224">
        <f t="shared" si="380"/>
        <v>0</v>
      </c>
      <c r="AB719" s="224">
        <f t="shared" si="380"/>
        <v>911900</v>
      </c>
    </row>
    <row r="720" spans="1:28" x14ac:dyDescent="0.2">
      <c r="A720" s="212" t="s">
        <v>22</v>
      </c>
      <c r="B720" s="58" t="s">
        <v>119</v>
      </c>
      <c r="C720" s="59" t="s">
        <v>75</v>
      </c>
      <c r="D720" s="58" t="s">
        <v>69</v>
      </c>
      <c r="E720" s="103" t="s">
        <v>69</v>
      </c>
      <c r="F720" s="66" t="s">
        <v>137</v>
      </c>
      <c r="G720" s="66" t="s">
        <v>135</v>
      </c>
      <c r="H720" s="66" t="s">
        <v>135</v>
      </c>
      <c r="I720" s="66" t="s">
        <v>12</v>
      </c>
      <c r="J720" s="67" t="s">
        <v>135</v>
      </c>
      <c r="K720" s="372" t="s">
        <v>23</v>
      </c>
      <c r="L720" s="64">
        <f>530000+14300+8-50000</f>
        <v>494308</v>
      </c>
      <c r="M720" s="65">
        <v>0</v>
      </c>
      <c r="N720" s="224">
        <v>0</v>
      </c>
      <c r="O720" s="224">
        <v>0</v>
      </c>
      <c r="P720" s="224">
        <v>0</v>
      </c>
      <c r="Q720" s="223">
        <v>5633100</v>
      </c>
      <c r="R720" s="224">
        <v>0</v>
      </c>
      <c r="S720" s="224">
        <v>0</v>
      </c>
      <c r="T720" s="224">
        <v>0</v>
      </c>
      <c r="U720" s="225">
        <v>5633100</v>
      </c>
      <c r="V720" s="224">
        <v>911900</v>
      </c>
      <c r="W720" s="223">
        <v>0</v>
      </c>
      <c r="X720" s="223">
        <v>0</v>
      </c>
      <c r="Y720" s="224">
        <f>5633100</f>
        <v>5633100</v>
      </c>
      <c r="Z720" s="225">
        <v>911900</v>
      </c>
      <c r="AA720" s="224">
        <v>0</v>
      </c>
      <c r="AB720" s="224">
        <v>911900</v>
      </c>
    </row>
    <row r="721" spans="1:28" x14ac:dyDescent="0.2">
      <c r="A721" s="212" t="s">
        <v>143</v>
      </c>
      <c r="B721" s="411">
        <v>334</v>
      </c>
      <c r="C721" s="59" t="s">
        <v>75</v>
      </c>
      <c r="D721" s="58" t="s">
        <v>69</v>
      </c>
      <c r="E721" s="104" t="s">
        <v>69</v>
      </c>
      <c r="F721" s="81" t="s">
        <v>137</v>
      </c>
      <c r="G721" s="66" t="s">
        <v>135</v>
      </c>
      <c r="H721" s="66" t="s">
        <v>135</v>
      </c>
      <c r="I721" s="71" t="s">
        <v>144</v>
      </c>
      <c r="J721" s="67" t="s">
        <v>135</v>
      </c>
      <c r="K721" s="372"/>
      <c r="L721" s="68">
        <f t="shared" ref="L721:AB722" si="381">L722</f>
        <v>21697000</v>
      </c>
      <c r="M721" s="69">
        <f t="shared" si="381"/>
        <v>0</v>
      </c>
      <c r="N721" s="216">
        <f t="shared" si="381"/>
        <v>138525200</v>
      </c>
      <c r="O721" s="216">
        <f t="shared" si="381"/>
        <v>0</v>
      </c>
      <c r="P721" s="216">
        <f t="shared" si="381"/>
        <v>138498018.40000001</v>
      </c>
      <c r="Q721" s="215">
        <f t="shared" si="381"/>
        <v>138525200</v>
      </c>
      <c r="R721" s="216">
        <f t="shared" si="381"/>
        <v>0</v>
      </c>
      <c r="S721" s="216">
        <f t="shared" si="381"/>
        <v>-36000</v>
      </c>
      <c r="T721" s="216">
        <f t="shared" si="381"/>
        <v>138462018.40000001</v>
      </c>
      <c r="U721" s="217">
        <f t="shared" si="381"/>
        <v>138525200</v>
      </c>
      <c r="V721" s="216">
        <f t="shared" si="381"/>
        <v>138525200</v>
      </c>
      <c r="W721" s="215">
        <f t="shared" si="381"/>
        <v>0</v>
      </c>
      <c r="X721" s="215">
        <f t="shared" si="381"/>
        <v>0</v>
      </c>
      <c r="Y721" s="216">
        <f t="shared" si="381"/>
        <v>138525200</v>
      </c>
      <c r="Z721" s="217">
        <f t="shared" si="381"/>
        <v>138525200</v>
      </c>
      <c r="AA721" s="216">
        <f t="shared" si="381"/>
        <v>0</v>
      </c>
      <c r="AB721" s="216">
        <f t="shared" si="381"/>
        <v>138525200</v>
      </c>
    </row>
    <row r="722" spans="1:28" ht="25.5" x14ac:dyDescent="0.2">
      <c r="A722" s="212" t="s">
        <v>21</v>
      </c>
      <c r="B722" s="411">
        <v>334</v>
      </c>
      <c r="C722" s="59" t="s">
        <v>75</v>
      </c>
      <c r="D722" s="58" t="s">
        <v>69</v>
      </c>
      <c r="E722" s="104" t="s">
        <v>69</v>
      </c>
      <c r="F722" s="81" t="s">
        <v>137</v>
      </c>
      <c r="G722" s="66" t="s">
        <v>135</v>
      </c>
      <c r="H722" s="66" t="s">
        <v>135</v>
      </c>
      <c r="I722" s="71" t="s">
        <v>144</v>
      </c>
      <c r="J722" s="67" t="s">
        <v>135</v>
      </c>
      <c r="K722" s="372">
        <v>600</v>
      </c>
      <c r="L722" s="68">
        <f t="shared" si="381"/>
        <v>21697000</v>
      </c>
      <c r="M722" s="69">
        <f t="shared" si="381"/>
        <v>0</v>
      </c>
      <c r="N722" s="216">
        <f t="shared" si="381"/>
        <v>138525200</v>
      </c>
      <c r="O722" s="216">
        <f t="shared" si="381"/>
        <v>0</v>
      </c>
      <c r="P722" s="216">
        <f t="shared" si="381"/>
        <v>138498018.40000001</v>
      </c>
      <c r="Q722" s="215">
        <f t="shared" si="381"/>
        <v>138525200</v>
      </c>
      <c r="R722" s="216">
        <f t="shared" si="381"/>
        <v>0</v>
      </c>
      <c r="S722" s="216">
        <f t="shared" si="381"/>
        <v>-36000</v>
      </c>
      <c r="T722" s="216">
        <f t="shared" si="381"/>
        <v>138462018.40000001</v>
      </c>
      <c r="U722" s="217">
        <f t="shared" si="381"/>
        <v>138525200</v>
      </c>
      <c r="V722" s="216">
        <f t="shared" si="381"/>
        <v>138525200</v>
      </c>
      <c r="W722" s="215">
        <f t="shared" si="381"/>
        <v>0</v>
      </c>
      <c r="X722" s="215">
        <f t="shared" si="381"/>
        <v>0</v>
      </c>
      <c r="Y722" s="216">
        <f t="shared" si="381"/>
        <v>138525200</v>
      </c>
      <c r="Z722" s="217">
        <f t="shared" si="381"/>
        <v>138525200</v>
      </c>
      <c r="AA722" s="216">
        <f t="shared" si="381"/>
        <v>0</v>
      </c>
      <c r="AB722" s="216">
        <f t="shared" si="381"/>
        <v>138525200</v>
      </c>
    </row>
    <row r="723" spans="1:28" x14ac:dyDescent="0.2">
      <c r="A723" s="212" t="s">
        <v>22</v>
      </c>
      <c r="B723" s="411">
        <v>334</v>
      </c>
      <c r="C723" s="59" t="s">
        <v>75</v>
      </c>
      <c r="D723" s="58" t="s">
        <v>69</v>
      </c>
      <c r="E723" s="104" t="s">
        <v>69</v>
      </c>
      <c r="F723" s="81" t="s">
        <v>137</v>
      </c>
      <c r="G723" s="66" t="s">
        <v>135</v>
      </c>
      <c r="H723" s="66" t="s">
        <v>135</v>
      </c>
      <c r="I723" s="71" t="s">
        <v>144</v>
      </c>
      <c r="J723" s="67" t="s">
        <v>135</v>
      </c>
      <c r="K723" s="372" t="s">
        <v>23</v>
      </c>
      <c r="L723" s="68">
        <v>21697000</v>
      </c>
      <c r="M723" s="69">
        <v>0</v>
      </c>
      <c r="N723" s="216">
        <v>138525200</v>
      </c>
      <c r="O723" s="216">
        <v>0</v>
      </c>
      <c r="P723" s="216">
        <v>138498018.40000001</v>
      </c>
      <c r="Q723" s="215">
        <v>138525200</v>
      </c>
      <c r="R723" s="216">
        <v>0</v>
      </c>
      <c r="S723" s="216">
        <v>-36000</v>
      </c>
      <c r="T723" s="216">
        <f>S723+P723</f>
        <v>138462018.40000001</v>
      </c>
      <c r="U723" s="217">
        <v>138525200</v>
      </c>
      <c r="V723" s="216">
        <v>138525200</v>
      </c>
      <c r="W723" s="215">
        <v>0</v>
      </c>
      <c r="X723" s="215">
        <v>0</v>
      </c>
      <c r="Y723" s="216">
        <v>138525200</v>
      </c>
      <c r="Z723" s="217">
        <v>138525200</v>
      </c>
      <c r="AA723" s="216">
        <v>0</v>
      </c>
      <c r="AB723" s="216">
        <v>138525200</v>
      </c>
    </row>
    <row r="724" spans="1:28" ht="38.25" x14ac:dyDescent="0.2">
      <c r="A724" s="207" t="s">
        <v>354</v>
      </c>
      <c r="B724" s="411">
        <v>334</v>
      </c>
      <c r="C724" s="59" t="s">
        <v>75</v>
      </c>
      <c r="D724" s="58" t="s">
        <v>69</v>
      </c>
      <c r="E724" s="104" t="s">
        <v>69</v>
      </c>
      <c r="F724" s="81" t="s">
        <v>137</v>
      </c>
      <c r="G724" s="66" t="s">
        <v>135</v>
      </c>
      <c r="H724" s="66" t="s">
        <v>135</v>
      </c>
      <c r="I724" s="71" t="s">
        <v>225</v>
      </c>
      <c r="J724" s="67" t="s">
        <v>135</v>
      </c>
      <c r="K724" s="372"/>
      <c r="L724" s="68">
        <f t="shared" ref="L724:AB725" si="382">L725</f>
        <v>408746.18000000005</v>
      </c>
      <c r="M724" s="69">
        <f t="shared" si="382"/>
        <v>0</v>
      </c>
      <c r="N724" s="216">
        <f t="shared" si="382"/>
        <v>0</v>
      </c>
      <c r="O724" s="215">
        <f t="shared" si="382"/>
        <v>0</v>
      </c>
      <c r="P724" s="216">
        <f t="shared" si="382"/>
        <v>333900</v>
      </c>
      <c r="Q724" s="68">
        <f t="shared" si="382"/>
        <v>633900</v>
      </c>
      <c r="R724" s="216">
        <f t="shared" si="382"/>
        <v>0</v>
      </c>
      <c r="S724" s="216">
        <f t="shared" si="382"/>
        <v>0</v>
      </c>
      <c r="T724" s="216">
        <f t="shared" si="382"/>
        <v>333900</v>
      </c>
      <c r="U724" s="217">
        <f t="shared" si="382"/>
        <v>633900</v>
      </c>
      <c r="V724" s="216">
        <f t="shared" si="382"/>
        <v>633900</v>
      </c>
      <c r="W724" s="215">
        <f t="shared" si="382"/>
        <v>0</v>
      </c>
      <c r="X724" s="215">
        <f t="shared" si="382"/>
        <v>0</v>
      </c>
      <c r="Y724" s="216">
        <f t="shared" si="382"/>
        <v>633900</v>
      </c>
      <c r="Z724" s="217">
        <f t="shared" si="382"/>
        <v>633900</v>
      </c>
      <c r="AA724" s="216">
        <f t="shared" si="382"/>
        <v>0</v>
      </c>
      <c r="AB724" s="216">
        <f t="shared" si="382"/>
        <v>633900</v>
      </c>
    </row>
    <row r="725" spans="1:28" ht="25.5" x14ac:dyDescent="0.2">
      <c r="A725" s="212" t="s">
        <v>21</v>
      </c>
      <c r="B725" s="411">
        <v>334</v>
      </c>
      <c r="C725" s="59" t="s">
        <v>75</v>
      </c>
      <c r="D725" s="58" t="s">
        <v>69</v>
      </c>
      <c r="E725" s="104" t="s">
        <v>69</v>
      </c>
      <c r="F725" s="81" t="s">
        <v>137</v>
      </c>
      <c r="G725" s="66" t="s">
        <v>135</v>
      </c>
      <c r="H725" s="66" t="s">
        <v>135</v>
      </c>
      <c r="I725" s="71" t="s">
        <v>225</v>
      </c>
      <c r="J725" s="67" t="s">
        <v>135</v>
      </c>
      <c r="K725" s="372">
        <v>600</v>
      </c>
      <c r="L725" s="68">
        <f t="shared" si="382"/>
        <v>408746.18000000005</v>
      </c>
      <c r="M725" s="69">
        <f t="shared" si="382"/>
        <v>0</v>
      </c>
      <c r="N725" s="216">
        <f t="shared" si="382"/>
        <v>0</v>
      </c>
      <c r="O725" s="215">
        <f t="shared" si="382"/>
        <v>0</v>
      </c>
      <c r="P725" s="216">
        <f t="shared" si="382"/>
        <v>333900</v>
      </c>
      <c r="Q725" s="68">
        <f t="shared" si="382"/>
        <v>633900</v>
      </c>
      <c r="R725" s="216">
        <f t="shared" si="382"/>
        <v>0</v>
      </c>
      <c r="S725" s="216">
        <f t="shared" si="382"/>
        <v>0</v>
      </c>
      <c r="T725" s="216">
        <f t="shared" si="382"/>
        <v>333900</v>
      </c>
      <c r="U725" s="217">
        <f t="shared" si="382"/>
        <v>633900</v>
      </c>
      <c r="V725" s="216">
        <f t="shared" si="382"/>
        <v>633900</v>
      </c>
      <c r="W725" s="215">
        <f t="shared" si="382"/>
        <v>0</v>
      </c>
      <c r="X725" s="215">
        <f t="shared" si="382"/>
        <v>0</v>
      </c>
      <c r="Y725" s="216">
        <f t="shared" si="382"/>
        <v>633900</v>
      </c>
      <c r="Z725" s="217">
        <f t="shared" si="382"/>
        <v>633900</v>
      </c>
      <c r="AA725" s="216">
        <f t="shared" si="382"/>
        <v>0</v>
      </c>
      <c r="AB725" s="216">
        <f t="shared" si="382"/>
        <v>633900</v>
      </c>
    </row>
    <row r="726" spans="1:28" x14ac:dyDescent="0.2">
      <c r="A726" s="212" t="s">
        <v>22</v>
      </c>
      <c r="B726" s="411">
        <v>334</v>
      </c>
      <c r="C726" s="59" t="s">
        <v>75</v>
      </c>
      <c r="D726" s="58" t="s">
        <v>69</v>
      </c>
      <c r="E726" s="104" t="s">
        <v>69</v>
      </c>
      <c r="F726" s="81" t="s">
        <v>137</v>
      </c>
      <c r="G726" s="66" t="s">
        <v>135</v>
      </c>
      <c r="H726" s="66" t="s">
        <v>135</v>
      </c>
      <c r="I726" s="71" t="s">
        <v>225</v>
      </c>
      <c r="J726" s="67" t="s">
        <v>135</v>
      </c>
      <c r="K726" s="372" t="s">
        <v>23</v>
      </c>
      <c r="L726" s="68">
        <f>798046.18-390000+700</f>
        <v>408746.18000000005</v>
      </c>
      <c r="M726" s="69">
        <v>0</v>
      </c>
      <c r="N726" s="216">
        <v>0</v>
      </c>
      <c r="O726" s="215">
        <v>0</v>
      </c>
      <c r="P726" s="216">
        <v>333900</v>
      </c>
      <c r="Q726" s="68">
        <v>633900</v>
      </c>
      <c r="R726" s="216">
        <v>0</v>
      </c>
      <c r="S726" s="216">
        <v>0</v>
      </c>
      <c r="T726" s="216">
        <f>P726</f>
        <v>333900</v>
      </c>
      <c r="U726" s="217">
        <v>633900</v>
      </c>
      <c r="V726" s="216">
        <v>633900</v>
      </c>
      <c r="W726" s="215">
        <v>0</v>
      </c>
      <c r="X726" s="215">
        <v>0</v>
      </c>
      <c r="Y726" s="216">
        <v>633900</v>
      </c>
      <c r="Z726" s="217">
        <v>633900</v>
      </c>
      <c r="AA726" s="216">
        <v>0</v>
      </c>
      <c r="AB726" s="216">
        <v>633900</v>
      </c>
    </row>
    <row r="727" spans="1:28" hidden="1" x14ac:dyDescent="0.2">
      <c r="A727" s="212" t="s">
        <v>239</v>
      </c>
      <c r="B727" s="58" t="s">
        <v>119</v>
      </c>
      <c r="C727" s="59" t="s">
        <v>75</v>
      </c>
      <c r="D727" s="58" t="s">
        <v>69</v>
      </c>
      <c r="E727" s="103" t="s">
        <v>69</v>
      </c>
      <c r="F727" s="70" t="s">
        <v>137</v>
      </c>
      <c r="G727" s="66" t="s">
        <v>135</v>
      </c>
      <c r="H727" s="66" t="s">
        <v>135</v>
      </c>
      <c r="I727" s="71" t="s">
        <v>248</v>
      </c>
      <c r="J727" s="67" t="s">
        <v>135</v>
      </c>
      <c r="K727" s="372"/>
      <c r="L727" s="68">
        <f t="shared" ref="L727:AB728" si="383">L728</f>
        <v>1764866.65</v>
      </c>
      <c r="M727" s="69">
        <f t="shared" si="383"/>
        <v>0</v>
      </c>
      <c r="N727" s="216">
        <f t="shared" si="383"/>
        <v>0</v>
      </c>
      <c r="O727" s="215">
        <f t="shared" si="383"/>
        <v>0</v>
      </c>
      <c r="P727" s="216">
        <f t="shared" si="383"/>
        <v>0</v>
      </c>
      <c r="Q727" s="68">
        <f t="shared" si="383"/>
        <v>0</v>
      </c>
      <c r="R727" s="216">
        <f t="shared" si="383"/>
        <v>0</v>
      </c>
      <c r="S727" s="216">
        <f t="shared" si="383"/>
        <v>0</v>
      </c>
      <c r="T727" s="216">
        <f t="shared" si="383"/>
        <v>0</v>
      </c>
      <c r="U727" s="217">
        <f t="shared" si="383"/>
        <v>0</v>
      </c>
      <c r="V727" s="216">
        <f t="shared" si="383"/>
        <v>0</v>
      </c>
      <c r="W727" s="215">
        <f t="shared" si="383"/>
        <v>0</v>
      </c>
      <c r="X727" s="215">
        <f t="shared" si="383"/>
        <v>0</v>
      </c>
      <c r="Y727" s="216">
        <f t="shared" si="383"/>
        <v>0</v>
      </c>
      <c r="Z727" s="217">
        <f t="shared" si="383"/>
        <v>0</v>
      </c>
      <c r="AA727" s="216">
        <f t="shared" si="383"/>
        <v>0</v>
      </c>
      <c r="AB727" s="216">
        <f t="shared" si="383"/>
        <v>0</v>
      </c>
    </row>
    <row r="728" spans="1:28" ht="25.5" hidden="1" x14ac:dyDescent="0.2">
      <c r="A728" s="212" t="s">
        <v>21</v>
      </c>
      <c r="B728" s="58" t="s">
        <v>119</v>
      </c>
      <c r="C728" s="59" t="s">
        <v>75</v>
      </c>
      <c r="D728" s="58" t="s">
        <v>69</v>
      </c>
      <c r="E728" s="103" t="s">
        <v>69</v>
      </c>
      <c r="F728" s="70" t="s">
        <v>137</v>
      </c>
      <c r="G728" s="66" t="s">
        <v>135</v>
      </c>
      <c r="H728" s="66" t="s">
        <v>135</v>
      </c>
      <c r="I728" s="71" t="s">
        <v>248</v>
      </c>
      <c r="J728" s="67" t="s">
        <v>135</v>
      </c>
      <c r="K728" s="372" t="s">
        <v>149</v>
      </c>
      <c r="L728" s="68">
        <f t="shared" si="383"/>
        <v>1764866.65</v>
      </c>
      <c r="M728" s="69">
        <f t="shared" si="383"/>
        <v>0</v>
      </c>
      <c r="N728" s="216">
        <f t="shared" si="383"/>
        <v>0</v>
      </c>
      <c r="O728" s="215">
        <f t="shared" si="383"/>
        <v>0</v>
      </c>
      <c r="P728" s="216">
        <f t="shared" si="383"/>
        <v>0</v>
      </c>
      <c r="Q728" s="68">
        <f t="shared" si="383"/>
        <v>0</v>
      </c>
      <c r="R728" s="216">
        <f t="shared" si="383"/>
        <v>0</v>
      </c>
      <c r="S728" s="216">
        <f t="shared" si="383"/>
        <v>0</v>
      </c>
      <c r="T728" s="216">
        <f t="shared" si="383"/>
        <v>0</v>
      </c>
      <c r="U728" s="217">
        <f t="shared" si="383"/>
        <v>0</v>
      </c>
      <c r="V728" s="216">
        <f t="shared" si="383"/>
        <v>0</v>
      </c>
      <c r="W728" s="215">
        <f t="shared" si="383"/>
        <v>0</v>
      </c>
      <c r="X728" s="215">
        <f t="shared" si="383"/>
        <v>0</v>
      </c>
      <c r="Y728" s="216">
        <f t="shared" si="383"/>
        <v>0</v>
      </c>
      <c r="Z728" s="217">
        <f t="shared" si="383"/>
        <v>0</v>
      </c>
      <c r="AA728" s="216">
        <f t="shared" si="383"/>
        <v>0</v>
      </c>
      <c r="AB728" s="216">
        <f t="shared" si="383"/>
        <v>0</v>
      </c>
    </row>
    <row r="729" spans="1:28" hidden="1" x14ac:dyDescent="0.2">
      <c r="A729" s="212" t="s">
        <v>22</v>
      </c>
      <c r="B729" s="58" t="s">
        <v>119</v>
      </c>
      <c r="C729" s="59" t="s">
        <v>75</v>
      </c>
      <c r="D729" s="58" t="s">
        <v>69</v>
      </c>
      <c r="E729" s="103" t="s">
        <v>69</v>
      </c>
      <c r="F729" s="70" t="s">
        <v>137</v>
      </c>
      <c r="G729" s="66" t="s">
        <v>135</v>
      </c>
      <c r="H729" s="66" t="s">
        <v>135</v>
      </c>
      <c r="I729" s="71" t="s">
        <v>248</v>
      </c>
      <c r="J729" s="67" t="s">
        <v>135</v>
      </c>
      <c r="K729" s="372" t="s">
        <v>23</v>
      </c>
      <c r="L729" s="68">
        <f>1658974.65+105892</f>
        <v>1764866.65</v>
      </c>
      <c r="M729" s="69">
        <v>0</v>
      </c>
      <c r="N729" s="216">
        <v>0</v>
      </c>
      <c r="O729" s="215">
        <v>0</v>
      </c>
      <c r="P729" s="216">
        <v>0</v>
      </c>
      <c r="Q729" s="68">
        <v>0</v>
      </c>
      <c r="R729" s="216">
        <v>0</v>
      </c>
      <c r="S729" s="216">
        <v>0</v>
      </c>
      <c r="T729" s="216">
        <v>0</v>
      </c>
      <c r="U729" s="217">
        <v>0</v>
      </c>
      <c r="V729" s="216">
        <v>0</v>
      </c>
      <c r="W729" s="215">
        <v>0</v>
      </c>
      <c r="X729" s="215">
        <v>0</v>
      </c>
      <c r="Y729" s="216">
        <v>0</v>
      </c>
      <c r="Z729" s="217">
        <v>0</v>
      </c>
      <c r="AA729" s="216">
        <v>0</v>
      </c>
      <c r="AB729" s="216">
        <v>0</v>
      </c>
    </row>
    <row r="730" spans="1:28" ht="102" x14ac:dyDescent="0.2">
      <c r="A730" s="226" t="s">
        <v>299</v>
      </c>
      <c r="B730" s="499">
        <v>334</v>
      </c>
      <c r="C730" s="59" t="s">
        <v>75</v>
      </c>
      <c r="D730" s="58" t="s">
        <v>69</v>
      </c>
      <c r="E730" s="104" t="s">
        <v>69</v>
      </c>
      <c r="F730" s="81" t="s">
        <v>137</v>
      </c>
      <c r="G730" s="66" t="s">
        <v>135</v>
      </c>
      <c r="H730" s="66" t="s">
        <v>135</v>
      </c>
      <c r="I730" s="71" t="s">
        <v>255</v>
      </c>
      <c r="J730" s="67" t="s">
        <v>135</v>
      </c>
      <c r="K730" s="208"/>
      <c r="L730" s="68"/>
      <c r="M730" s="69"/>
      <c r="N730" s="216">
        <f t="shared" ref="N730:AB737" si="384">N731</f>
        <v>633900</v>
      </c>
      <c r="O730" s="215">
        <f t="shared" si="384"/>
        <v>0</v>
      </c>
      <c r="P730" s="216">
        <f t="shared" si="384"/>
        <v>300000</v>
      </c>
      <c r="Q730" s="68">
        <f t="shared" si="384"/>
        <v>0</v>
      </c>
      <c r="R730" s="215">
        <f t="shared" si="384"/>
        <v>0</v>
      </c>
      <c r="S730" s="215">
        <f t="shared" si="384"/>
        <v>0</v>
      </c>
      <c r="T730" s="216">
        <f t="shared" si="384"/>
        <v>300000</v>
      </c>
      <c r="U730" s="217">
        <f t="shared" si="384"/>
        <v>0</v>
      </c>
      <c r="V730" s="217">
        <f t="shared" si="384"/>
        <v>0</v>
      </c>
      <c r="W730" s="215">
        <f t="shared" si="384"/>
        <v>0</v>
      </c>
      <c r="X730" s="215">
        <f t="shared" si="384"/>
        <v>0</v>
      </c>
      <c r="Y730" s="216">
        <f t="shared" si="384"/>
        <v>0</v>
      </c>
      <c r="Z730" s="217">
        <f t="shared" si="384"/>
        <v>0</v>
      </c>
      <c r="AA730" s="216">
        <f t="shared" si="384"/>
        <v>0</v>
      </c>
      <c r="AB730" s="216">
        <f t="shared" si="384"/>
        <v>0</v>
      </c>
    </row>
    <row r="731" spans="1:28" ht="25.5" x14ac:dyDescent="0.2">
      <c r="A731" s="212" t="s">
        <v>21</v>
      </c>
      <c r="B731" s="499">
        <v>334</v>
      </c>
      <c r="C731" s="59" t="s">
        <v>75</v>
      </c>
      <c r="D731" s="58" t="s">
        <v>69</v>
      </c>
      <c r="E731" s="104" t="s">
        <v>69</v>
      </c>
      <c r="F731" s="81" t="s">
        <v>137</v>
      </c>
      <c r="G731" s="66" t="s">
        <v>135</v>
      </c>
      <c r="H731" s="66" t="s">
        <v>135</v>
      </c>
      <c r="I731" s="71" t="s">
        <v>255</v>
      </c>
      <c r="J731" s="67" t="s">
        <v>135</v>
      </c>
      <c r="K731" s="208">
        <v>600</v>
      </c>
      <c r="L731" s="68"/>
      <c r="M731" s="69"/>
      <c r="N731" s="216">
        <f t="shared" si="384"/>
        <v>633900</v>
      </c>
      <c r="O731" s="215">
        <f t="shared" si="384"/>
        <v>0</v>
      </c>
      <c r="P731" s="216">
        <f t="shared" si="384"/>
        <v>300000</v>
      </c>
      <c r="Q731" s="68">
        <f t="shared" si="384"/>
        <v>0</v>
      </c>
      <c r="R731" s="215">
        <f t="shared" si="384"/>
        <v>0</v>
      </c>
      <c r="S731" s="215">
        <f t="shared" si="384"/>
        <v>0</v>
      </c>
      <c r="T731" s="216">
        <f t="shared" si="384"/>
        <v>300000</v>
      </c>
      <c r="U731" s="217">
        <f t="shared" si="384"/>
        <v>0</v>
      </c>
      <c r="V731" s="217">
        <f t="shared" si="384"/>
        <v>0</v>
      </c>
      <c r="W731" s="215">
        <f t="shared" si="384"/>
        <v>0</v>
      </c>
      <c r="X731" s="215">
        <f t="shared" si="384"/>
        <v>0</v>
      </c>
      <c r="Y731" s="216">
        <f t="shared" si="384"/>
        <v>0</v>
      </c>
      <c r="Z731" s="217">
        <f t="shared" si="384"/>
        <v>0</v>
      </c>
      <c r="AA731" s="216">
        <f t="shared" si="384"/>
        <v>0</v>
      </c>
      <c r="AB731" s="216">
        <f t="shared" si="384"/>
        <v>0</v>
      </c>
    </row>
    <row r="732" spans="1:28" x14ac:dyDescent="0.2">
      <c r="A732" s="212" t="s">
        <v>22</v>
      </c>
      <c r="B732" s="499">
        <v>334</v>
      </c>
      <c r="C732" s="59" t="s">
        <v>75</v>
      </c>
      <c r="D732" s="58" t="s">
        <v>69</v>
      </c>
      <c r="E732" s="104" t="s">
        <v>69</v>
      </c>
      <c r="F732" s="81" t="s">
        <v>137</v>
      </c>
      <c r="G732" s="66" t="s">
        <v>135</v>
      </c>
      <c r="H732" s="66" t="s">
        <v>135</v>
      </c>
      <c r="I732" s="71" t="s">
        <v>255</v>
      </c>
      <c r="J732" s="67" t="s">
        <v>135</v>
      </c>
      <c r="K732" s="208" t="s">
        <v>23</v>
      </c>
      <c r="L732" s="68"/>
      <c r="M732" s="69"/>
      <c r="N732" s="216">
        <f>16349.09+617550.91</f>
        <v>633900</v>
      </c>
      <c r="O732" s="215">
        <v>0</v>
      </c>
      <c r="P732" s="216">
        <v>300000</v>
      </c>
      <c r="Q732" s="68">
        <v>0</v>
      </c>
      <c r="R732" s="215">
        <v>0</v>
      </c>
      <c r="S732" s="215">
        <v>0</v>
      </c>
      <c r="T732" s="216">
        <f>S732+P731</f>
        <v>300000</v>
      </c>
      <c r="U732" s="217">
        <v>0</v>
      </c>
      <c r="V732" s="217">
        <v>0</v>
      </c>
      <c r="W732" s="215">
        <v>0</v>
      </c>
      <c r="X732" s="215">
        <v>0</v>
      </c>
      <c r="Y732" s="216">
        <v>0</v>
      </c>
      <c r="Z732" s="217">
        <v>0</v>
      </c>
      <c r="AA732" s="216">
        <v>0</v>
      </c>
      <c r="AB732" s="216">
        <v>0</v>
      </c>
    </row>
    <row r="733" spans="1:28" ht="60" customHeight="1" x14ac:dyDescent="0.2">
      <c r="A733" s="226" t="s">
        <v>439</v>
      </c>
      <c r="B733" s="499">
        <v>334</v>
      </c>
      <c r="C733" s="59" t="s">
        <v>75</v>
      </c>
      <c r="D733" s="58" t="s">
        <v>69</v>
      </c>
      <c r="E733" s="104" t="s">
        <v>69</v>
      </c>
      <c r="F733" s="81" t="s">
        <v>137</v>
      </c>
      <c r="G733" s="66" t="s">
        <v>135</v>
      </c>
      <c r="H733" s="66" t="s">
        <v>135</v>
      </c>
      <c r="I733" s="71" t="s">
        <v>438</v>
      </c>
      <c r="J733" s="67" t="s">
        <v>135</v>
      </c>
      <c r="K733" s="208"/>
      <c r="L733" s="68"/>
      <c r="M733" s="69"/>
      <c r="N733" s="216">
        <f t="shared" si="384"/>
        <v>633900</v>
      </c>
      <c r="O733" s="215">
        <f t="shared" si="384"/>
        <v>0</v>
      </c>
      <c r="P733" s="216">
        <f t="shared" si="384"/>
        <v>0</v>
      </c>
      <c r="Q733" s="68">
        <f t="shared" si="384"/>
        <v>0</v>
      </c>
      <c r="R733" s="215">
        <f t="shared" si="384"/>
        <v>0</v>
      </c>
      <c r="S733" s="215">
        <f t="shared" si="384"/>
        <v>457000</v>
      </c>
      <c r="T733" s="216">
        <f t="shared" si="384"/>
        <v>457000</v>
      </c>
      <c r="U733" s="217">
        <f t="shared" si="384"/>
        <v>0</v>
      </c>
      <c r="V733" s="217">
        <f t="shared" si="384"/>
        <v>0</v>
      </c>
      <c r="W733" s="215">
        <f t="shared" si="384"/>
        <v>0</v>
      </c>
      <c r="X733" s="215">
        <f t="shared" si="384"/>
        <v>0</v>
      </c>
      <c r="Y733" s="216">
        <f t="shared" si="384"/>
        <v>0</v>
      </c>
      <c r="Z733" s="217">
        <f t="shared" si="384"/>
        <v>0</v>
      </c>
      <c r="AA733" s="216">
        <f t="shared" si="384"/>
        <v>0</v>
      </c>
      <c r="AB733" s="216">
        <f t="shared" si="384"/>
        <v>0</v>
      </c>
    </row>
    <row r="734" spans="1:28" ht="32.25" customHeight="1" x14ac:dyDescent="0.2">
      <c r="A734" s="212" t="s">
        <v>21</v>
      </c>
      <c r="B734" s="499">
        <v>334</v>
      </c>
      <c r="C734" s="59" t="s">
        <v>75</v>
      </c>
      <c r="D734" s="58" t="s">
        <v>69</v>
      </c>
      <c r="E734" s="104" t="s">
        <v>69</v>
      </c>
      <c r="F734" s="81" t="s">
        <v>137</v>
      </c>
      <c r="G734" s="66" t="s">
        <v>135</v>
      </c>
      <c r="H734" s="66" t="s">
        <v>135</v>
      </c>
      <c r="I734" s="71" t="s">
        <v>438</v>
      </c>
      <c r="J734" s="67" t="s">
        <v>135</v>
      </c>
      <c r="K734" s="208">
        <v>600</v>
      </c>
      <c r="L734" s="68"/>
      <c r="M734" s="69"/>
      <c r="N734" s="216">
        <f t="shared" si="384"/>
        <v>633900</v>
      </c>
      <c r="O734" s="215">
        <f t="shared" si="384"/>
        <v>0</v>
      </c>
      <c r="P734" s="216">
        <f t="shared" si="384"/>
        <v>0</v>
      </c>
      <c r="Q734" s="68">
        <f t="shared" si="384"/>
        <v>0</v>
      </c>
      <c r="R734" s="215">
        <f t="shared" si="384"/>
        <v>0</v>
      </c>
      <c r="S734" s="215">
        <f t="shared" si="384"/>
        <v>457000</v>
      </c>
      <c r="T734" s="216">
        <f t="shared" si="384"/>
        <v>457000</v>
      </c>
      <c r="U734" s="217">
        <f t="shared" si="384"/>
        <v>0</v>
      </c>
      <c r="V734" s="217">
        <f t="shared" si="384"/>
        <v>0</v>
      </c>
      <c r="W734" s="215">
        <f t="shared" si="384"/>
        <v>0</v>
      </c>
      <c r="X734" s="215">
        <f t="shared" si="384"/>
        <v>0</v>
      </c>
      <c r="Y734" s="216">
        <f t="shared" si="384"/>
        <v>0</v>
      </c>
      <c r="Z734" s="217">
        <f t="shared" si="384"/>
        <v>0</v>
      </c>
      <c r="AA734" s="216">
        <f t="shared" si="384"/>
        <v>0</v>
      </c>
      <c r="AB734" s="216">
        <f t="shared" si="384"/>
        <v>0</v>
      </c>
    </row>
    <row r="735" spans="1:28" x14ac:dyDescent="0.2">
      <c r="A735" s="212" t="s">
        <v>22</v>
      </c>
      <c r="B735" s="499">
        <v>334</v>
      </c>
      <c r="C735" s="59" t="s">
        <v>75</v>
      </c>
      <c r="D735" s="58" t="s">
        <v>69</v>
      </c>
      <c r="E735" s="104" t="s">
        <v>69</v>
      </c>
      <c r="F735" s="81" t="s">
        <v>137</v>
      </c>
      <c r="G735" s="66" t="s">
        <v>135</v>
      </c>
      <c r="H735" s="66" t="s">
        <v>135</v>
      </c>
      <c r="I735" s="71" t="s">
        <v>438</v>
      </c>
      <c r="J735" s="67" t="s">
        <v>135</v>
      </c>
      <c r="K735" s="208" t="s">
        <v>23</v>
      </c>
      <c r="L735" s="68"/>
      <c r="M735" s="69"/>
      <c r="N735" s="216">
        <f>16349.09+617550.91</f>
        <v>633900</v>
      </c>
      <c r="O735" s="215">
        <v>0</v>
      </c>
      <c r="P735" s="216">
        <v>0</v>
      </c>
      <c r="Q735" s="68">
        <v>0</v>
      </c>
      <c r="R735" s="215">
        <v>0</v>
      </c>
      <c r="S735" s="215">
        <f>36000+421000</f>
        <v>457000</v>
      </c>
      <c r="T735" s="216">
        <f>S735+P734</f>
        <v>457000</v>
      </c>
      <c r="U735" s="217">
        <v>0</v>
      </c>
      <c r="V735" s="217">
        <v>0</v>
      </c>
      <c r="W735" s="215">
        <v>0</v>
      </c>
      <c r="X735" s="215">
        <v>0</v>
      </c>
      <c r="Y735" s="216">
        <v>0</v>
      </c>
      <c r="Z735" s="217">
        <v>0</v>
      </c>
      <c r="AA735" s="216">
        <v>0</v>
      </c>
      <c r="AB735" s="216">
        <v>0</v>
      </c>
    </row>
    <row r="736" spans="1:28" ht="63.75" x14ac:dyDescent="0.2">
      <c r="A736" s="212" t="s">
        <v>418</v>
      </c>
      <c r="B736" s="59" t="s">
        <v>119</v>
      </c>
      <c r="C736" s="58" t="s">
        <v>75</v>
      </c>
      <c r="D736" s="59" t="s">
        <v>69</v>
      </c>
      <c r="E736" s="66" t="s">
        <v>69</v>
      </c>
      <c r="F736" s="70" t="s">
        <v>137</v>
      </c>
      <c r="G736" s="66" t="s">
        <v>135</v>
      </c>
      <c r="H736" s="66" t="s">
        <v>135</v>
      </c>
      <c r="I736" s="71" t="s">
        <v>398</v>
      </c>
      <c r="J736" s="67" t="s">
        <v>137</v>
      </c>
      <c r="K736" s="208"/>
      <c r="L736" s="68">
        <f t="shared" ref="L736:V737" si="385">L737</f>
        <v>0</v>
      </c>
      <c r="M736" s="69">
        <f t="shared" si="385"/>
        <v>0</v>
      </c>
      <c r="N736" s="69">
        <f t="shared" si="385"/>
        <v>2256500</v>
      </c>
      <c r="O736" s="69">
        <f t="shared" si="385"/>
        <v>0</v>
      </c>
      <c r="P736" s="216">
        <f t="shared" si="385"/>
        <v>1100000</v>
      </c>
      <c r="Q736" s="498">
        <f t="shared" si="385"/>
        <v>0</v>
      </c>
      <c r="R736" s="69">
        <f t="shared" si="385"/>
        <v>0</v>
      </c>
      <c r="S736" s="215">
        <f t="shared" si="385"/>
        <v>0</v>
      </c>
      <c r="T736" s="216">
        <f t="shared" si="385"/>
        <v>1100000</v>
      </c>
      <c r="U736" s="217">
        <f t="shared" si="385"/>
        <v>0</v>
      </c>
      <c r="V736" s="498">
        <f t="shared" si="385"/>
        <v>0</v>
      </c>
      <c r="W736" s="215"/>
      <c r="X736" s="215">
        <f t="shared" si="384"/>
        <v>0</v>
      </c>
      <c r="Y736" s="216">
        <f t="shared" si="384"/>
        <v>0</v>
      </c>
      <c r="Z736" s="217">
        <f t="shared" si="384"/>
        <v>0</v>
      </c>
      <c r="AA736" s="216">
        <f t="shared" si="384"/>
        <v>0</v>
      </c>
      <c r="AB736" s="216">
        <f t="shared" si="384"/>
        <v>0</v>
      </c>
    </row>
    <row r="737" spans="1:28" ht="25.5" x14ac:dyDescent="0.2">
      <c r="A737" s="212" t="s">
        <v>21</v>
      </c>
      <c r="B737" s="59" t="s">
        <v>119</v>
      </c>
      <c r="C737" s="58" t="s">
        <v>75</v>
      </c>
      <c r="D737" s="59" t="s">
        <v>69</v>
      </c>
      <c r="E737" s="66" t="s">
        <v>69</v>
      </c>
      <c r="F737" s="70" t="s">
        <v>137</v>
      </c>
      <c r="G737" s="66" t="s">
        <v>135</v>
      </c>
      <c r="H737" s="66" t="s">
        <v>135</v>
      </c>
      <c r="I737" s="71" t="s">
        <v>398</v>
      </c>
      <c r="J737" s="67" t="s">
        <v>137</v>
      </c>
      <c r="K737" s="208" t="s">
        <v>149</v>
      </c>
      <c r="L737" s="68">
        <f t="shared" si="385"/>
        <v>0</v>
      </c>
      <c r="M737" s="69">
        <f t="shared" si="385"/>
        <v>0</v>
      </c>
      <c r="N737" s="69">
        <f>N738</f>
        <v>2256500</v>
      </c>
      <c r="O737" s="69">
        <f t="shared" si="385"/>
        <v>0</v>
      </c>
      <c r="P737" s="216">
        <f t="shared" si="385"/>
        <v>1100000</v>
      </c>
      <c r="Q737" s="498">
        <f t="shared" si="385"/>
        <v>0</v>
      </c>
      <c r="R737" s="69">
        <f t="shared" si="385"/>
        <v>0</v>
      </c>
      <c r="S737" s="215">
        <f t="shared" si="385"/>
        <v>0</v>
      </c>
      <c r="T737" s="216">
        <f t="shared" si="385"/>
        <v>1100000</v>
      </c>
      <c r="U737" s="217">
        <f t="shared" si="385"/>
        <v>0</v>
      </c>
      <c r="V737" s="498">
        <f t="shared" si="385"/>
        <v>0</v>
      </c>
      <c r="W737" s="215"/>
      <c r="X737" s="215">
        <f t="shared" si="384"/>
        <v>0</v>
      </c>
      <c r="Y737" s="216">
        <f t="shared" si="384"/>
        <v>0</v>
      </c>
      <c r="Z737" s="217">
        <f t="shared" si="384"/>
        <v>0</v>
      </c>
      <c r="AA737" s="216">
        <f t="shared" si="384"/>
        <v>0</v>
      </c>
      <c r="AB737" s="216">
        <f t="shared" si="384"/>
        <v>0</v>
      </c>
    </row>
    <row r="738" spans="1:28" x14ac:dyDescent="0.2">
      <c r="A738" s="212" t="s">
        <v>22</v>
      </c>
      <c r="B738" s="59" t="s">
        <v>119</v>
      </c>
      <c r="C738" s="58" t="s">
        <v>75</v>
      </c>
      <c r="D738" s="59" t="s">
        <v>69</v>
      </c>
      <c r="E738" s="66" t="s">
        <v>69</v>
      </c>
      <c r="F738" s="70" t="s">
        <v>137</v>
      </c>
      <c r="G738" s="66" t="s">
        <v>135</v>
      </c>
      <c r="H738" s="66" t="s">
        <v>135</v>
      </c>
      <c r="I738" s="71" t="s">
        <v>398</v>
      </c>
      <c r="J738" s="67" t="s">
        <v>137</v>
      </c>
      <c r="K738" s="208" t="s">
        <v>23</v>
      </c>
      <c r="L738" s="68">
        <v>0</v>
      </c>
      <c r="M738" s="69">
        <v>0</v>
      </c>
      <c r="N738" s="69">
        <v>2256500</v>
      </c>
      <c r="O738" s="69">
        <v>0</v>
      </c>
      <c r="P738" s="216">
        <v>1100000</v>
      </c>
      <c r="Q738" s="498">
        <v>0</v>
      </c>
      <c r="R738" s="69">
        <v>0</v>
      </c>
      <c r="S738" s="215">
        <v>0</v>
      </c>
      <c r="T738" s="216">
        <f>P738</f>
        <v>1100000</v>
      </c>
      <c r="U738" s="217">
        <v>0</v>
      </c>
      <c r="V738" s="498">
        <v>0</v>
      </c>
      <c r="W738" s="215"/>
      <c r="X738" s="215">
        <v>0</v>
      </c>
      <c r="Y738" s="216">
        <v>0</v>
      </c>
      <c r="Z738" s="217">
        <v>0</v>
      </c>
      <c r="AA738" s="216">
        <v>0</v>
      </c>
      <c r="AB738" s="216">
        <v>0</v>
      </c>
    </row>
    <row r="739" spans="1:28" ht="38.25" x14ac:dyDescent="0.2">
      <c r="A739" s="212" t="s">
        <v>347</v>
      </c>
      <c r="B739" s="58" t="s">
        <v>119</v>
      </c>
      <c r="C739" s="59" t="s">
        <v>75</v>
      </c>
      <c r="D739" s="58" t="s">
        <v>69</v>
      </c>
      <c r="E739" s="103" t="s">
        <v>69</v>
      </c>
      <c r="F739" s="66" t="s">
        <v>137</v>
      </c>
      <c r="G739" s="66" t="s">
        <v>135</v>
      </c>
      <c r="H739" s="66" t="s">
        <v>135</v>
      </c>
      <c r="I739" s="72" t="s">
        <v>389</v>
      </c>
      <c r="J739" s="67" t="s">
        <v>135</v>
      </c>
      <c r="K739" s="372"/>
      <c r="L739" s="64" t="e">
        <f>L740+#REF!</f>
        <v>#REF!</v>
      </c>
      <c r="M739" s="65" t="e">
        <f>M740+#REF!</f>
        <v>#REF!</v>
      </c>
      <c r="N739" s="224">
        <f t="shared" ref="N739:AB739" si="386">N740</f>
        <v>0</v>
      </c>
      <c r="O739" s="224">
        <f t="shared" si="386"/>
        <v>0</v>
      </c>
      <c r="P739" s="224">
        <f t="shared" si="386"/>
        <v>950000</v>
      </c>
      <c r="Q739" s="223">
        <f t="shared" si="386"/>
        <v>1120000</v>
      </c>
      <c r="R739" s="224">
        <f t="shared" si="386"/>
        <v>0</v>
      </c>
      <c r="S739" s="224">
        <f t="shared" si="386"/>
        <v>-466000</v>
      </c>
      <c r="T739" s="224">
        <f t="shared" si="386"/>
        <v>484000</v>
      </c>
      <c r="U739" s="225">
        <f t="shared" si="386"/>
        <v>0</v>
      </c>
      <c r="V739" s="224">
        <f t="shared" si="386"/>
        <v>220000</v>
      </c>
      <c r="W739" s="223">
        <f t="shared" si="386"/>
        <v>0</v>
      </c>
      <c r="X739" s="223">
        <f t="shared" si="386"/>
        <v>0</v>
      </c>
      <c r="Y739" s="224">
        <f t="shared" si="386"/>
        <v>0</v>
      </c>
      <c r="Z739" s="225">
        <f t="shared" si="386"/>
        <v>0</v>
      </c>
      <c r="AA739" s="224">
        <f t="shared" si="386"/>
        <v>0</v>
      </c>
      <c r="AB739" s="224">
        <f t="shared" si="386"/>
        <v>0</v>
      </c>
    </row>
    <row r="740" spans="1:28" ht="25.5" x14ac:dyDescent="0.2">
      <c r="A740" s="212" t="s">
        <v>21</v>
      </c>
      <c r="B740" s="58" t="s">
        <v>119</v>
      </c>
      <c r="C740" s="59" t="s">
        <v>75</v>
      </c>
      <c r="D740" s="58" t="s">
        <v>69</v>
      </c>
      <c r="E740" s="103" t="s">
        <v>69</v>
      </c>
      <c r="F740" s="66" t="s">
        <v>137</v>
      </c>
      <c r="G740" s="66" t="s">
        <v>135</v>
      </c>
      <c r="H740" s="66" t="s">
        <v>135</v>
      </c>
      <c r="I740" s="72" t="s">
        <v>389</v>
      </c>
      <c r="J740" s="67" t="s">
        <v>135</v>
      </c>
      <c r="K740" s="372" t="s">
        <v>149</v>
      </c>
      <c r="L740" s="64">
        <f t="shared" ref="L740:AB740" si="387">L741</f>
        <v>60000</v>
      </c>
      <c r="M740" s="65">
        <f t="shared" si="387"/>
        <v>0</v>
      </c>
      <c r="N740" s="224">
        <f t="shared" si="387"/>
        <v>0</v>
      </c>
      <c r="O740" s="224">
        <f t="shared" si="387"/>
        <v>0</v>
      </c>
      <c r="P740" s="224">
        <f t="shared" si="387"/>
        <v>950000</v>
      </c>
      <c r="Q740" s="223">
        <f t="shared" si="387"/>
        <v>1120000</v>
      </c>
      <c r="R740" s="224">
        <f t="shared" si="387"/>
        <v>0</v>
      </c>
      <c r="S740" s="224">
        <f t="shared" si="387"/>
        <v>-466000</v>
      </c>
      <c r="T740" s="224">
        <f t="shared" si="387"/>
        <v>484000</v>
      </c>
      <c r="U740" s="225">
        <f t="shared" si="387"/>
        <v>0</v>
      </c>
      <c r="V740" s="224">
        <f t="shared" si="387"/>
        <v>220000</v>
      </c>
      <c r="W740" s="223">
        <f t="shared" si="387"/>
        <v>0</v>
      </c>
      <c r="X740" s="223">
        <f t="shared" si="387"/>
        <v>0</v>
      </c>
      <c r="Y740" s="224">
        <f t="shared" si="387"/>
        <v>0</v>
      </c>
      <c r="Z740" s="225">
        <f t="shared" si="387"/>
        <v>0</v>
      </c>
      <c r="AA740" s="224">
        <f t="shared" si="387"/>
        <v>0</v>
      </c>
      <c r="AB740" s="224">
        <f t="shared" si="387"/>
        <v>0</v>
      </c>
    </row>
    <row r="741" spans="1:28" x14ac:dyDescent="0.2">
      <c r="A741" s="212" t="s">
        <v>22</v>
      </c>
      <c r="B741" s="58" t="s">
        <v>119</v>
      </c>
      <c r="C741" s="59" t="s">
        <v>75</v>
      </c>
      <c r="D741" s="58" t="s">
        <v>69</v>
      </c>
      <c r="E741" s="103" t="s">
        <v>69</v>
      </c>
      <c r="F741" s="66" t="s">
        <v>137</v>
      </c>
      <c r="G741" s="66" t="s">
        <v>135</v>
      </c>
      <c r="H741" s="66" t="s">
        <v>135</v>
      </c>
      <c r="I741" s="72" t="s">
        <v>389</v>
      </c>
      <c r="J741" s="67" t="s">
        <v>135</v>
      </c>
      <c r="K741" s="372" t="s">
        <v>23</v>
      </c>
      <c r="L741" s="64">
        <v>60000</v>
      </c>
      <c r="M741" s="65">
        <v>0</v>
      </c>
      <c r="N741" s="224">
        <v>0</v>
      </c>
      <c r="O741" s="224">
        <v>0</v>
      </c>
      <c r="P741" s="224">
        <v>950000</v>
      </c>
      <c r="Q741" s="223">
        <v>1120000</v>
      </c>
      <c r="R741" s="224">
        <v>0</v>
      </c>
      <c r="S741" s="224">
        <f>-600000+74000+60000</f>
        <v>-466000</v>
      </c>
      <c r="T741" s="224">
        <f>S741+P741</f>
        <v>484000</v>
      </c>
      <c r="U741" s="225">
        <v>0</v>
      </c>
      <c r="V741" s="224">
        <v>220000</v>
      </c>
      <c r="W741" s="223">
        <v>0</v>
      </c>
      <c r="X741" s="223">
        <v>0</v>
      </c>
      <c r="Y741" s="224">
        <v>0</v>
      </c>
      <c r="Z741" s="225">
        <v>0</v>
      </c>
      <c r="AA741" s="224">
        <v>0</v>
      </c>
      <c r="AB741" s="224">
        <v>0</v>
      </c>
    </row>
    <row r="742" spans="1:28" ht="51" x14ac:dyDescent="0.2">
      <c r="A742" s="226" t="s">
        <v>422</v>
      </c>
      <c r="B742" s="499">
        <v>334</v>
      </c>
      <c r="C742" s="59" t="s">
        <v>75</v>
      </c>
      <c r="D742" s="58" t="s">
        <v>69</v>
      </c>
      <c r="E742" s="104" t="s">
        <v>69</v>
      </c>
      <c r="F742" s="81" t="s">
        <v>137</v>
      </c>
      <c r="G742" s="66" t="s">
        <v>410</v>
      </c>
      <c r="H742" s="66" t="s">
        <v>133</v>
      </c>
      <c r="I742" s="71" t="s">
        <v>421</v>
      </c>
      <c r="J742" s="67" t="s">
        <v>40</v>
      </c>
      <c r="K742" s="208"/>
      <c r="L742" s="68"/>
      <c r="M742" s="69"/>
      <c r="N742" s="502">
        <f t="shared" ref="N742:AB743" si="388">N743</f>
        <v>116959.06</v>
      </c>
      <c r="O742" s="69">
        <f t="shared" si="388"/>
        <v>0</v>
      </c>
      <c r="P742" s="216">
        <f t="shared" si="388"/>
        <v>59737.16</v>
      </c>
      <c r="Q742" s="498">
        <f t="shared" si="388"/>
        <v>0</v>
      </c>
      <c r="R742" s="69">
        <f t="shared" si="388"/>
        <v>0</v>
      </c>
      <c r="S742" s="215">
        <f t="shared" si="388"/>
        <v>0</v>
      </c>
      <c r="T742" s="216">
        <f t="shared" si="388"/>
        <v>59737.16</v>
      </c>
      <c r="U742" s="217">
        <f t="shared" si="388"/>
        <v>0</v>
      </c>
      <c r="V742" s="498">
        <f t="shared" si="388"/>
        <v>0</v>
      </c>
      <c r="W742" s="223"/>
      <c r="X742" s="215">
        <f t="shared" si="388"/>
        <v>0</v>
      </c>
      <c r="Y742" s="216">
        <f t="shared" si="388"/>
        <v>0</v>
      </c>
      <c r="Z742" s="217">
        <f t="shared" si="388"/>
        <v>0</v>
      </c>
      <c r="AA742" s="216">
        <f t="shared" si="388"/>
        <v>0</v>
      </c>
      <c r="AB742" s="216">
        <f t="shared" si="388"/>
        <v>0</v>
      </c>
    </row>
    <row r="743" spans="1:28" ht="25.5" x14ac:dyDescent="0.2">
      <c r="A743" s="212" t="s">
        <v>21</v>
      </c>
      <c r="B743" s="499">
        <v>334</v>
      </c>
      <c r="C743" s="59" t="s">
        <v>75</v>
      </c>
      <c r="D743" s="58" t="s">
        <v>69</v>
      </c>
      <c r="E743" s="104" t="s">
        <v>69</v>
      </c>
      <c r="F743" s="81" t="s">
        <v>137</v>
      </c>
      <c r="G743" s="66" t="s">
        <v>410</v>
      </c>
      <c r="H743" s="66" t="s">
        <v>133</v>
      </c>
      <c r="I743" s="71" t="s">
        <v>421</v>
      </c>
      <c r="J743" s="67" t="s">
        <v>40</v>
      </c>
      <c r="K743" s="208" t="s">
        <v>149</v>
      </c>
      <c r="L743" s="68"/>
      <c r="M743" s="69"/>
      <c r="N743" s="502">
        <f t="shared" si="388"/>
        <v>116959.06</v>
      </c>
      <c r="O743" s="69">
        <f t="shared" si="388"/>
        <v>0</v>
      </c>
      <c r="P743" s="216">
        <f t="shared" si="388"/>
        <v>59737.16</v>
      </c>
      <c r="Q743" s="498">
        <f t="shared" si="388"/>
        <v>0</v>
      </c>
      <c r="R743" s="69">
        <f t="shared" si="388"/>
        <v>0</v>
      </c>
      <c r="S743" s="215">
        <f t="shared" si="388"/>
        <v>0</v>
      </c>
      <c r="T743" s="216">
        <f t="shared" si="388"/>
        <v>59737.16</v>
      </c>
      <c r="U743" s="217">
        <f t="shared" si="388"/>
        <v>0</v>
      </c>
      <c r="V743" s="498">
        <f t="shared" si="388"/>
        <v>0</v>
      </c>
      <c r="W743" s="223"/>
      <c r="X743" s="215">
        <f t="shared" si="388"/>
        <v>0</v>
      </c>
      <c r="Y743" s="216">
        <f t="shared" si="388"/>
        <v>0</v>
      </c>
      <c r="Z743" s="217">
        <f t="shared" si="388"/>
        <v>0</v>
      </c>
      <c r="AA743" s="216">
        <f t="shared" si="388"/>
        <v>0</v>
      </c>
      <c r="AB743" s="216">
        <f t="shared" si="388"/>
        <v>0</v>
      </c>
    </row>
    <row r="744" spans="1:28" x14ac:dyDescent="0.2">
      <c r="A744" s="212" t="s">
        <v>22</v>
      </c>
      <c r="B744" s="499">
        <v>334</v>
      </c>
      <c r="C744" s="59" t="s">
        <v>75</v>
      </c>
      <c r="D744" s="58" t="s">
        <v>69</v>
      </c>
      <c r="E744" s="104" t="s">
        <v>69</v>
      </c>
      <c r="F744" s="81" t="s">
        <v>137</v>
      </c>
      <c r="G744" s="66" t="s">
        <v>410</v>
      </c>
      <c r="H744" s="66" t="s">
        <v>133</v>
      </c>
      <c r="I744" s="71" t="s">
        <v>421</v>
      </c>
      <c r="J744" s="67" t="s">
        <v>40</v>
      </c>
      <c r="K744" s="208" t="s">
        <v>23</v>
      </c>
      <c r="L744" s="68"/>
      <c r="M744" s="69"/>
      <c r="N744" s="502">
        <v>116959.06</v>
      </c>
      <c r="O744" s="69">
        <v>0</v>
      </c>
      <c r="P744" s="216">
        <v>59737.16</v>
      </c>
      <c r="Q744" s="498">
        <v>0</v>
      </c>
      <c r="R744" s="69">
        <v>0</v>
      </c>
      <c r="S744" s="215">
        <v>0</v>
      </c>
      <c r="T744" s="216">
        <f>P744</f>
        <v>59737.16</v>
      </c>
      <c r="U744" s="217">
        <v>0</v>
      </c>
      <c r="V744" s="498">
        <f>U744</f>
        <v>0</v>
      </c>
      <c r="W744" s="223"/>
      <c r="X744" s="215">
        <v>0</v>
      </c>
      <c r="Y744" s="216">
        <v>0</v>
      </c>
      <c r="Z744" s="217">
        <v>0</v>
      </c>
      <c r="AA744" s="216">
        <v>0</v>
      </c>
      <c r="AB744" s="216">
        <v>0</v>
      </c>
    </row>
    <row r="745" spans="1:28" ht="25.5" x14ac:dyDescent="0.2">
      <c r="A745" s="226" t="s">
        <v>378</v>
      </c>
      <c r="B745" s="59" t="s">
        <v>119</v>
      </c>
      <c r="C745" s="59" t="s">
        <v>75</v>
      </c>
      <c r="D745" s="58" t="s">
        <v>69</v>
      </c>
      <c r="E745" s="104" t="s">
        <v>69</v>
      </c>
      <c r="F745" s="81" t="s">
        <v>133</v>
      </c>
      <c r="G745" s="66" t="s">
        <v>135</v>
      </c>
      <c r="H745" s="66" t="s">
        <v>135</v>
      </c>
      <c r="I745" s="81" t="s">
        <v>136</v>
      </c>
      <c r="J745" s="67" t="s">
        <v>135</v>
      </c>
      <c r="K745" s="208"/>
      <c r="L745" s="68">
        <f>L749+L755+L752+L746</f>
        <v>36867254.869999997</v>
      </c>
      <c r="M745" s="69">
        <f>M749+M755+M752+M746</f>
        <v>0</v>
      </c>
      <c r="N745" s="216">
        <f>N749+N755+N752+N746+N758</f>
        <v>50671487.840000004</v>
      </c>
      <c r="O745" s="215">
        <f>O749+O755+O752+O746+O758</f>
        <v>95268.86</v>
      </c>
      <c r="P745" s="216">
        <f>P749+P755+P752+P746+P758+P761+P764</f>
        <v>72343756.700000003</v>
      </c>
      <c r="Q745" s="216">
        <f t="shared" ref="Q745:AB745" si="389">Q749+Q755+Q752+Q746+Q758+Q761+Q764</f>
        <v>56093346.57</v>
      </c>
      <c r="R745" s="216">
        <f t="shared" si="389"/>
        <v>-70786.55</v>
      </c>
      <c r="S745" s="216">
        <f t="shared" si="389"/>
        <v>194795.62000000011</v>
      </c>
      <c r="T745" s="216">
        <f t="shared" si="389"/>
        <v>72538552.319999993</v>
      </c>
      <c r="U745" s="217">
        <f t="shared" si="389"/>
        <v>53782560.020000003</v>
      </c>
      <c r="V745" s="216">
        <f t="shared" si="389"/>
        <v>53043072.840000004</v>
      </c>
      <c r="W745" s="216">
        <f t="shared" si="389"/>
        <v>-33268.559999999998</v>
      </c>
      <c r="X745" s="215">
        <f t="shared" si="389"/>
        <v>0</v>
      </c>
      <c r="Y745" s="216">
        <f t="shared" si="389"/>
        <v>53782560.020000003</v>
      </c>
      <c r="Z745" s="217">
        <f t="shared" si="389"/>
        <v>52569804.280000001</v>
      </c>
      <c r="AA745" s="216">
        <f t="shared" si="389"/>
        <v>0</v>
      </c>
      <c r="AB745" s="216">
        <f t="shared" si="389"/>
        <v>52569804.280000001</v>
      </c>
    </row>
    <row r="746" spans="1:28" x14ac:dyDescent="0.2">
      <c r="A746" s="212" t="s">
        <v>10</v>
      </c>
      <c r="B746" s="58" t="s">
        <v>119</v>
      </c>
      <c r="C746" s="59" t="s">
        <v>75</v>
      </c>
      <c r="D746" s="58" t="s">
        <v>69</v>
      </c>
      <c r="E746" s="104" t="s">
        <v>69</v>
      </c>
      <c r="F746" s="81" t="s">
        <v>133</v>
      </c>
      <c r="G746" s="66" t="s">
        <v>135</v>
      </c>
      <c r="H746" s="66" t="s">
        <v>135</v>
      </c>
      <c r="I746" s="81" t="s">
        <v>12</v>
      </c>
      <c r="J746" s="67" t="s">
        <v>135</v>
      </c>
      <c r="K746" s="219"/>
      <c r="L746" s="68">
        <f t="shared" ref="L746:AB747" si="390">L747</f>
        <v>500000</v>
      </c>
      <c r="M746" s="69">
        <f t="shared" si="390"/>
        <v>0</v>
      </c>
      <c r="N746" s="216">
        <f t="shared" si="390"/>
        <v>0</v>
      </c>
      <c r="O746" s="215">
        <f t="shared" si="390"/>
        <v>166000</v>
      </c>
      <c r="P746" s="216">
        <f t="shared" si="390"/>
        <v>0</v>
      </c>
      <c r="Q746" s="68">
        <f t="shared" si="390"/>
        <v>3181500</v>
      </c>
      <c r="R746" s="215">
        <f t="shared" si="390"/>
        <v>0</v>
      </c>
      <c r="S746" s="215">
        <f t="shared" si="390"/>
        <v>0</v>
      </c>
      <c r="T746" s="216">
        <f t="shared" si="390"/>
        <v>0</v>
      </c>
      <c r="U746" s="217">
        <f t="shared" si="390"/>
        <v>3181500</v>
      </c>
      <c r="V746" s="216">
        <f t="shared" si="390"/>
        <v>1960500</v>
      </c>
      <c r="W746" s="215">
        <f t="shared" si="390"/>
        <v>0</v>
      </c>
      <c r="X746" s="215">
        <f t="shared" si="390"/>
        <v>0</v>
      </c>
      <c r="Y746" s="216">
        <f t="shared" si="390"/>
        <v>3181500</v>
      </c>
      <c r="Z746" s="217">
        <f t="shared" si="390"/>
        <v>1960500</v>
      </c>
      <c r="AA746" s="216">
        <f t="shared" si="390"/>
        <v>0</v>
      </c>
      <c r="AB746" s="216">
        <f t="shared" si="390"/>
        <v>1960500</v>
      </c>
    </row>
    <row r="747" spans="1:28" ht="25.5" x14ac:dyDescent="0.2">
      <c r="A747" s="212" t="s">
        <v>21</v>
      </c>
      <c r="B747" s="58" t="s">
        <v>119</v>
      </c>
      <c r="C747" s="59" t="s">
        <v>75</v>
      </c>
      <c r="D747" s="58" t="s">
        <v>69</v>
      </c>
      <c r="E747" s="103" t="s">
        <v>69</v>
      </c>
      <c r="F747" s="66" t="s">
        <v>133</v>
      </c>
      <c r="G747" s="66" t="s">
        <v>135</v>
      </c>
      <c r="H747" s="66" t="s">
        <v>135</v>
      </c>
      <c r="I747" s="66" t="s">
        <v>12</v>
      </c>
      <c r="J747" s="67" t="s">
        <v>135</v>
      </c>
      <c r="K747" s="214" t="s">
        <v>149</v>
      </c>
      <c r="L747" s="64">
        <f t="shared" si="390"/>
        <v>500000</v>
      </c>
      <c r="M747" s="65">
        <f t="shared" si="390"/>
        <v>0</v>
      </c>
      <c r="N747" s="224">
        <f t="shared" si="390"/>
        <v>0</v>
      </c>
      <c r="O747" s="223">
        <f t="shared" si="390"/>
        <v>166000</v>
      </c>
      <c r="P747" s="224">
        <f t="shared" si="390"/>
        <v>0</v>
      </c>
      <c r="Q747" s="64">
        <f t="shared" si="390"/>
        <v>3181500</v>
      </c>
      <c r="R747" s="223">
        <f t="shared" si="390"/>
        <v>0</v>
      </c>
      <c r="S747" s="223">
        <f t="shared" si="390"/>
        <v>0</v>
      </c>
      <c r="T747" s="224">
        <f t="shared" si="390"/>
        <v>0</v>
      </c>
      <c r="U747" s="225">
        <f t="shared" si="390"/>
        <v>3181500</v>
      </c>
      <c r="V747" s="224">
        <f t="shared" si="390"/>
        <v>1960500</v>
      </c>
      <c r="W747" s="223">
        <f t="shared" si="390"/>
        <v>0</v>
      </c>
      <c r="X747" s="223">
        <f t="shared" si="390"/>
        <v>0</v>
      </c>
      <c r="Y747" s="224">
        <f t="shared" si="390"/>
        <v>3181500</v>
      </c>
      <c r="Z747" s="225">
        <f t="shared" si="390"/>
        <v>1960500</v>
      </c>
      <c r="AA747" s="224">
        <f t="shared" si="390"/>
        <v>0</v>
      </c>
      <c r="AB747" s="224">
        <f t="shared" si="390"/>
        <v>1960500</v>
      </c>
    </row>
    <row r="748" spans="1:28" x14ac:dyDescent="0.2">
      <c r="A748" s="212" t="s">
        <v>22</v>
      </c>
      <c r="B748" s="58" t="s">
        <v>119</v>
      </c>
      <c r="C748" s="59" t="s">
        <v>75</v>
      </c>
      <c r="D748" s="58" t="s">
        <v>69</v>
      </c>
      <c r="E748" s="103" t="s">
        <v>69</v>
      </c>
      <c r="F748" s="66" t="s">
        <v>133</v>
      </c>
      <c r="G748" s="66" t="s">
        <v>135</v>
      </c>
      <c r="H748" s="66" t="s">
        <v>135</v>
      </c>
      <c r="I748" s="66" t="s">
        <v>12</v>
      </c>
      <c r="J748" s="67" t="s">
        <v>135</v>
      </c>
      <c r="K748" s="214" t="s">
        <v>23</v>
      </c>
      <c r="L748" s="64">
        <v>500000</v>
      </c>
      <c r="M748" s="65">
        <v>0</v>
      </c>
      <c r="N748" s="224">
        <v>0</v>
      </c>
      <c r="O748" s="224">
        <v>166000</v>
      </c>
      <c r="P748" s="224">
        <v>0</v>
      </c>
      <c r="Q748" s="223">
        <v>3181500</v>
      </c>
      <c r="R748" s="224">
        <v>0</v>
      </c>
      <c r="S748" s="223">
        <v>0</v>
      </c>
      <c r="T748" s="224">
        <f>S748+P748</f>
        <v>0</v>
      </c>
      <c r="U748" s="225">
        <v>3181500</v>
      </c>
      <c r="V748" s="224">
        <v>1960500</v>
      </c>
      <c r="W748" s="223">
        <v>0</v>
      </c>
      <c r="X748" s="223">
        <v>0</v>
      </c>
      <c r="Y748" s="224">
        <v>3181500</v>
      </c>
      <c r="Z748" s="225">
        <v>1960500</v>
      </c>
      <c r="AA748" s="224">
        <v>0</v>
      </c>
      <c r="AB748" s="224">
        <v>1960500</v>
      </c>
    </row>
    <row r="749" spans="1:28" x14ac:dyDescent="0.2">
      <c r="A749" s="212" t="s">
        <v>145</v>
      </c>
      <c r="B749" s="411">
        <v>334</v>
      </c>
      <c r="C749" s="59" t="s">
        <v>75</v>
      </c>
      <c r="D749" s="58" t="s">
        <v>69</v>
      </c>
      <c r="E749" s="104" t="s">
        <v>69</v>
      </c>
      <c r="F749" s="81" t="s">
        <v>133</v>
      </c>
      <c r="G749" s="66" t="s">
        <v>135</v>
      </c>
      <c r="H749" s="66" t="s">
        <v>135</v>
      </c>
      <c r="I749" s="71" t="s">
        <v>146</v>
      </c>
      <c r="J749" s="67" t="s">
        <v>135</v>
      </c>
      <c r="K749" s="372"/>
      <c r="L749" s="68">
        <f t="shared" ref="L749:AB750" si="391">L750</f>
        <v>35580000</v>
      </c>
      <c r="M749" s="69">
        <f t="shared" si="391"/>
        <v>0</v>
      </c>
      <c r="N749" s="216">
        <f t="shared" si="391"/>
        <v>49789300</v>
      </c>
      <c r="O749" s="216">
        <f t="shared" si="391"/>
        <v>0</v>
      </c>
      <c r="P749" s="216">
        <f t="shared" si="391"/>
        <v>49738034.689999998</v>
      </c>
      <c r="Q749" s="215">
        <f t="shared" si="391"/>
        <v>49789300</v>
      </c>
      <c r="R749" s="216">
        <f t="shared" si="391"/>
        <v>0</v>
      </c>
      <c r="S749" s="216">
        <f t="shared" si="391"/>
        <v>-2075.31</v>
      </c>
      <c r="T749" s="216">
        <f t="shared" si="391"/>
        <v>49735959.379999995</v>
      </c>
      <c r="U749" s="217">
        <f t="shared" si="391"/>
        <v>49789300</v>
      </c>
      <c r="V749" s="216">
        <f t="shared" si="391"/>
        <v>49789300</v>
      </c>
      <c r="W749" s="215">
        <f t="shared" si="391"/>
        <v>0</v>
      </c>
      <c r="X749" s="215">
        <f t="shared" si="391"/>
        <v>0</v>
      </c>
      <c r="Y749" s="216">
        <f t="shared" si="391"/>
        <v>49789300</v>
      </c>
      <c r="Z749" s="217">
        <f t="shared" si="391"/>
        <v>49789300</v>
      </c>
      <c r="AA749" s="216">
        <f t="shared" si="391"/>
        <v>0</v>
      </c>
      <c r="AB749" s="216">
        <f t="shared" si="391"/>
        <v>49789300</v>
      </c>
    </row>
    <row r="750" spans="1:28" ht="25.5" x14ac:dyDescent="0.2">
      <c r="A750" s="212" t="s">
        <v>21</v>
      </c>
      <c r="B750" s="411">
        <v>334</v>
      </c>
      <c r="C750" s="59" t="s">
        <v>75</v>
      </c>
      <c r="D750" s="58" t="s">
        <v>69</v>
      </c>
      <c r="E750" s="104" t="s">
        <v>69</v>
      </c>
      <c r="F750" s="81" t="s">
        <v>133</v>
      </c>
      <c r="G750" s="66" t="s">
        <v>135</v>
      </c>
      <c r="H750" s="66" t="s">
        <v>135</v>
      </c>
      <c r="I750" s="71" t="s">
        <v>146</v>
      </c>
      <c r="J750" s="67" t="s">
        <v>135</v>
      </c>
      <c r="K750" s="372">
        <v>600</v>
      </c>
      <c r="L750" s="68">
        <f t="shared" si="391"/>
        <v>35580000</v>
      </c>
      <c r="M750" s="69">
        <f t="shared" si="391"/>
        <v>0</v>
      </c>
      <c r="N750" s="216">
        <f t="shared" si="391"/>
        <v>49789300</v>
      </c>
      <c r="O750" s="216">
        <f t="shared" si="391"/>
        <v>0</v>
      </c>
      <c r="P750" s="216">
        <f t="shared" si="391"/>
        <v>49738034.689999998</v>
      </c>
      <c r="Q750" s="215">
        <f t="shared" si="391"/>
        <v>49789300</v>
      </c>
      <c r="R750" s="216">
        <f t="shared" si="391"/>
        <v>0</v>
      </c>
      <c r="S750" s="216">
        <f t="shared" si="391"/>
        <v>-2075.31</v>
      </c>
      <c r="T750" s="216">
        <f t="shared" si="391"/>
        <v>49735959.379999995</v>
      </c>
      <c r="U750" s="217">
        <f t="shared" si="391"/>
        <v>49789300</v>
      </c>
      <c r="V750" s="216">
        <f t="shared" si="391"/>
        <v>49789300</v>
      </c>
      <c r="W750" s="215">
        <f t="shared" si="391"/>
        <v>0</v>
      </c>
      <c r="X750" s="215">
        <f t="shared" si="391"/>
        <v>0</v>
      </c>
      <c r="Y750" s="216">
        <f t="shared" si="391"/>
        <v>49789300</v>
      </c>
      <c r="Z750" s="217">
        <f t="shared" si="391"/>
        <v>49789300</v>
      </c>
      <c r="AA750" s="216">
        <f t="shared" si="391"/>
        <v>0</v>
      </c>
      <c r="AB750" s="216">
        <f t="shared" si="391"/>
        <v>49789300</v>
      </c>
    </row>
    <row r="751" spans="1:28" x14ac:dyDescent="0.2">
      <c r="A751" s="212" t="s">
        <v>22</v>
      </c>
      <c r="B751" s="411">
        <v>334</v>
      </c>
      <c r="C751" s="59" t="s">
        <v>75</v>
      </c>
      <c r="D751" s="58" t="s">
        <v>69</v>
      </c>
      <c r="E751" s="104" t="s">
        <v>69</v>
      </c>
      <c r="F751" s="81" t="s">
        <v>133</v>
      </c>
      <c r="G751" s="66" t="s">
        <v>135</v>
      </c>
      <c r="H751" s="66" t="s">
        <v>135</v>
      </c>
      <c r="I751" s="71" t="s">
        <v>146</v>
      </c>
      <c r="J751" s="67" t="s">
        <v>135</v>
      </c>
      <c r="K751" s="372" t="s">
        <v>23</v>
      </c>
      <c r="L751" s="68">
        <v>35580000</v>
      </c>
      <c r="M751" s="69">
        <v>0</v>
      </c>
      <c r="N751" s="216">
        <v>49789300</v>
      </c>
      <c r="O751" s="216">
        <v>0</v>
      </c>
      <c r="P751" s="216">
        <v>49738034.689999998</v>
      </c>
      <c r="Q751" s="215">
        <v>49789300</v>
      </c>
      <c r="R751" s="216">
        <v>0</v>
      </c>
      <c r="S751" s="216">
        <v>-2075.31</v>
      </c>
      <c r="T751" s="216">
        <f>S751+P751</f>
        <v>49735959.379999995</v>
      </c>
      <c r="U751" s="217">
        <v>49789300</v>
      </c>
      <c r="V751" s="216">
        <v>49789300</v>
      </c>
      <c r="W751" s="215">
        <v>0</v>
      </c>
      <c r="X751" s="215">
        <v>0</v>
      </c>
      <c r="Y751" s="216">
        <v>49789300</v>
      </c>
      <c r="Z751" s="217">
        <v>49789300</v>
      </c>
      <c r="AA751" s="216">
        <v>0</v>
      </c>
      <c r="AB751" s="216">
        <v>49789300</v>
      </c>
    </row>
    <row r="752" spans="1:28" ht="38.25" x14ac:dyDescent="0.2">
      <c r="A752" s="207" t="s">
        <v>354</v>
      </c>
      <c r="B752" s="411">
        <v>334</v>
      </c>
      <c r="C752" s="59" t="s">
        <v>75</v>
      </c>
      <c r="D752" s="58" t="s">
        <v>69</v>
      </c>
      <c r="E752" s="104" t="s">
        <v>69</v>
      </c>
      <c r="F752" s="81" t="s">
        <v>133</v>
      </c>
      <c r="G752" s="66" t="s">
        <v>135</v>
      </c>
      <c r="H752" s="66" t="s">
        <v>135</v>
      </c>
      <c r="I752" s="71" t="s">
        <v>225</v>
      </c>
      <c r="J752" s="67" t="s">
        <v>135</v>
      </c>
      <c r="K752" s="372"/>
      <c r="L752" s="68">
        <f t="shared" ref="L752:AB753" si="392">L753</f>
        <v>390000</v>
      </c>
      <c r="M752" s="69">
        <f t="shared" si="392"/>
        <v>0</v>
      </c>
      <c r="N752" s="216">
        <f t="shared" si="392"/>
        <v>390000</v>
      </c>
      <c r="O752" s="216">
        <f t="shared" si="392"/>
        <v>0</v>
      </c>
      <c r="P752" s="216">
        <f t="shared" si="392"/>
        <v>390000</v>
      </c>
      <c r="Q752" s="215">
        <f t="shared" si="392"/>
        <v>390000</v>
      </c>
      <c r="R752" s="216">
        <f t="shared" si="392"/>
        <v>0</v>
      </c>
      <c r="S752" s="216">
        <f t="shared" si="392"/>
        <v>0</v>
      </c>
      <c r="T752" s="216">
        <f t="shared" si="392"/>
        <v>390000</v>
      </c>
      <c r="U752" s="217">
        <f t="shared" si="392"/>
        <v>390000</v>
      </c>
      <c r="V752" s="216">
        <f t="shared" si="392"/>
        <v>390000</v>
      </c>
      <c r="W752" s="215">
        <f t="shared" si="392"/>
        <v>0</v>
      </c>
      <c r="X752" s="215">
        <f t="shared" si="392"/>
        <v>0</v>
      </c>
      <c r="Y752" s="216">
        <f t="shared" si="392"/>
        <v>390000</v>
      </c>
      <c r="Z752" s="217">
        <f t="shared" si="392"/>
        <v>390000</v>
      </c>
      <c r="AA752" s="216">
        <f t="shared" si="392"/>
        <v>0</v>
      </c>
      <c r="AB752" s="216">
        <f t="shared" si="392"/>
        <v>390000</v>
      </c>
    </row>
    <row r="753" spans="1:28" ht="25.5" x14ac:dyDescent="0.2">
      <c r="A753" s="212" t="s">
        <v>21</v>
      </c>
      <c r="B753" s="411">
        <v>334</v>
      </c>
      <c r="C753" s="59" t="s">
        <v>75</v>
      </c>
      <c r="D753" s="58" t="s">
        <v>69</v>
      </c>
      <c r="E753" s="104" t="s">
        <v>69</v>
      </c>
      <c r="F753" s="81" t="s">
        <v>133</v>
      </c>
      <c r="G753" s="66" t="s">
        <v>135</v>
      </c>
      <c r="H753" s="66" t="s">
        <v>135</v>
      </c>
      <c r="I753" s="71" t="s">
        <v>225</v>
      </c>
      <c r="J753" s="67" t="s">
        <v>135</v>
      </c>
      <c r="K753" s="372">
        <v>600</v>
      </c>
      <c r="L753" s="68">
        <f t="shared" si="392"/>
        <v>390000</v>
      </c>
      <c r="M753" s="69">
        <f t="shared" si="392"/>
        <v>0</v>
      </c>
      <c r="N753" s="216">
        <f t="shared" si="392"/>
        <v>390000</v>
      </c>
      <c r="O753" s="216">
        <f t="shared" si="392"/>
        <v>0</v>
      </c>
      <c r="P753" s="216">
        <f t="shared" si="392"/>
        <v>390000</v>
      </c>
      <c r="Q753" s="215">
        <f t="shared" si="392"/>
        <v>390000</v>
      </c>
      <c r="R753" s="216">
        <f t="shared" si="392"/>
        <v>0</v>
      </c>
      <c r="S753" s="216">
        <f t="shared" si="392"/>
        <v>0</v>
      </c>
      <c r="T753" s="216">
        <f t="shared" si="392"/>
        <v>390000</v>
      </c>
      <c r="U753" s="217">
        <f t="shared" si="392"/>
        <v>390000</v>
      </c>
      <c r="V753" s="216">
        <f t="shared" si="392"/>
        <v>390000</v>
      </c>
      <c r="W753" s="215">
        <f t="shared" si="392"/>
        <v>0</v>
      </c>
      <c r="X753" s="215">
        <f t="shared" si="392"/>
        <v>0</v>
      </c>
      <c r="Y753" s="216">
        <f t="shared" si="392"/>
        <v>390000</v>
      </c>
      <c r="Z753" s="217">
        <f t="shared" si="392"/>
        <v>390000</v>
      </c>
      <c r="AA753" s="216">
        <f t="shared" si="392"/>
        <v>0</v>
      </c>
      <c r="AB753" s="216">
        <f t="shared" si="392"/>
        <v>390000</v>
      </c>
    </row>
    <row r="754" spans="1:28" x14ac:dyDescent="0.2">
      <c r="A754" s="212" t="s">
        <v>22</v>
      </c>
      <c r="B754" s="411">
        <v>334</v>
      </c>
      <c r="C754" s="59" t="s">
        <v>75</v>
      </c>
      <c r="D754" s="58" t="s">
        <v>69</v>
      </c>
      <c r="E754" s="104" t="s">
        <v>69</v>
      </c>
      <c r="F754" s="81" t="s">
        <v>133</v>
      </c>
      <c r="G754" s="66" t="s">
        <v>135</v>
      </c>
      <c r="H754" s="66" t="s">
        <v>135</v>
      </c>
      <c r="I754" s="71" t="s">
        <v>225</v>
      </c>
      <c r="J754" s="67" t="s">
        <v>135</v>
      </c>
      <c r="K754" s="372" t="s">
        <v>23</v>
      </c>
      <c r="L754" s="68">
        <v>390000</v>
      </c>
      <c r="M754" s="69">
        <v>0</v>
      </c>
      <c r="N754" s="216">
        <v>390000</v>
      </c>
      <c r="O754" s="216">
        <v>0</v>
      </c>
      <c r="P754" s="216">
        <v>390000</v>
      </c>
      <c r="Q754" s="215">
        <v>390000</v>
      </c>
      <c r="R754" s="216">
        <v>0</v>
      </c>
      <c r="S754" s="216">
        <v>0</v>
      </c>
      <c r="T754" s="216">
        <v>390000</v>
      </c>
      <c r="U754" s="217">
        <v>390000</v>
      </c>
      <c r="V754" s="216">
        <v>390000</v>
      </c>
      <c r="W754" s="215">
        <v>0</v>
      </c>
      <c r="X754" s="215">
        <v>0</v>
      </c>
      <c r="Y754" s="216">
        <v>390000</v>
      </c>
      <c r="Z754" s="217">
        <v>390000</v>
      </c>
      <c r="AA754" s="216">
        <v>0</v>
      </c>
      <c r="AB754" s="216">
        <v>390000</v>
      </c>
    </row>
    <row r="755" spans="1:28" ht="63.75" x14ac:dyDescent="0.2">
      <c r="A755" s="226" t="s">
        <v>298</v>
      </c>
      <c r="B755" s="411">
        <v>334</v>
      </c>
      <c r="C755" s="59" t="s">
        <v>75</v>
      </c>
      <c r="D755" s="58" t="s">
        <v>69</v>
      </c>
      <c r="E755" s="104" t="s">
        <v>69</v>
      </c>
      <c r="F755" s="81" t="s">
        <v>133</v>
      </c>
      <c r="G755" s="66" t="s">
        <v>135</v>
      </c>
      <c r="H755" s="66" t="s">
        <v>135</v>
      </c>
      <c r="I755" s="71" t="s">
        <v>230</v>
      </c>
      <c r="J755" s="67" t="s">
        <v>240</v>
      </c>
      <c r="K755" s="372"/>
      <c r="L755" s="68">
        <f t="shared" ref="L755:AB756" si="393">L756</f>
        <v>397254.87</v>
      </c>
      <c r="M755" s="69">
        <f t="shared" si="393"/>
        <v>0</v>
      </c>
      <c r="N755" s="216">
        <f t="shared" si="393"/>
        <v>307502.09999999998</v>
      </c>
      <c r="O755" s="216">
        <f t="shared" si="393"/>
        <v>-68645.83</v>
      </c>
      <c r="P755" s="216">
        <f t="shared" si="393"/>
        <v>238856.26999999996</v>
      </c>
      <c r="Q755" s="215">
        <f t="shared" si="393"/>
        <v>307860.83</v>
      </c>
      <c r="R755" s="216">
        <f t="shared" si="393"/>
        <v>-68701.240000000005</v>
      </c>
      <c r="S755" s="216">
        <f t="shared" si="393"/>
        <v>1176.1600000000001</v>
      </c>
      <c r="T755" s="216">
        <f t="shared" si="393"/>
        <v>240032.42999999996</v>
      </c>
      <c r="U755" s="217">
        <f t="shared" si="393"/>
        <v>239159.59000000003</v>
      </c>
      <c r="V755" s="216">
        <f t="shared" si="393"/>
        <v>276587.09999999998</v>
      </c>
      <c r="W755" s="215">
        <f t="shared" si="393"/>
        <v>-31183.25</v>
      </c>
      <c r="X755" s="215">
        <f t="shared" si="393"/>
        <v>0</v>
      </c>
      <c r="Y755" s="216">
        <f t="shared" si="393"/>
        <v>239159.59000000003</v>
      </c>
      <c r="Z755" s="217">
        <f t="shared" si="393"/>
        <v>245403.84999999998</v>
      </c>
      <c r="AA755" s="216">
        <f t="shared" si="393"/>
        <v>0</v>
      </c>
      <c r="AB755" s="216">
        <f t="shared" si="393"/>
        <v>245403.84999999998</v>
      </c>
    </row>
    <row r="756" spans="1:28" ht="25.5" x14ac:dyDescent="0.2">
      <c r="A756" s="212" t="s">
        <v>21</v>
      </c>
      <c r="B756" s="411">
        <v>334</v>
      </c>
      <c r="C756" s="59" t="s">
        <v>75</v>
      </c>
      <c r="D756" s="58" t="s">
        <v>69</v>
      </c>
      <c r="E756" s="104" t="s">
        <v>69</v>
      </c>
      <c r="F756" s="81" t="s">
        <v>133</v>
      </c>
      <c r="G756" s="66" t="s">
        <v>135</v>
      </c>
      <c r="H756" s="66" t="s">
        <v>135</v>
      </c>
      <c r="I756" s="71" t="s">
        <v>230</v>
      </c>
      <c r="J756" s="67" t="s">
        <v>240</v>
      </c>
      <c r="K756" s="372">
        <v>600</v>
      </c>
      <c r="L756" s="68">
        <f t="shared" si="393"/>
        <v>397254.87</v>
      </c>
      <c r="M756" s="69">
        <f t="shared" si="393"/>
        <v>0</v>
      </c>
      <c r="N756" s="216">
        <f t="shared" si="393"/>
        <v>307502.09999999998</v>
      </c>
      <c r="O756" s="216">
        <f t="shared" si="393"/>
        <v>-68645.83</v>
      </c>
      <c r="P756" s="216">
        <f t="shared" si="393"/>
        <v>238856.26999999996</v>
      </c>
      <c r="Q756" s="215">
        <f t="shared" si="393"/>
        <v>307860.83</v>
      </c>
      <c r="R756" s="216">
        <f t="shared" si="393"/>
        <v>-68701.240000000005</v>
      </c>
      <c r="S756" s="216">
        <f t="shared" si="393"/>
        <v>1176.1600000000001</v>
      </c>
      <c r="T756" s="216">
        <f t="shared" si="393"/>
        <v>240032.42999999996</v>
      </c>
      <c r="U756" s="217">
        <f t="shared" si="393"/>
        <v>239159.59000000003</v>
      </c>
      <c r="V756" s="216">
        <f t="shared" si="393"/>
        <v>276587.09999999998</v>
      </c>
      <c r="W756" s="215">
        <f t="shared" si="393"/>
        <v>-31183.25</v>
      </c>
      <c r="X756" s="215">
        <f t="shared" si="393"/>
        <v>0</v>
      </c>
      <c r="Y756" s="216">
        <f t="shared" si="393"/>
        <v>239159.59000000003</v>
      </c>
      <c r="Z756" s="217">
        <f t="shared" si="393"/>
        <v>245403.84999999998</v>
      </c>
      <c r="AA756" s="216">
        <f t="shared" si="393"/>
        <v>0</v>
      </c>
      <c r="AB756" s="216">
        <f t="shared" si="393"/>
        <v>245403.84999999998</v>
      </c>
    </row>
    <row r="757" spans="1:28" x14ac:dyDescent="0.2">
      <c r="A757" s="212" t="s">
        <v>22</v>
      </c>
      <c r="B757" s="411">
        <v>334</v>
      </c>
      <c r="C757" s="59" t="s">
        <v>75</v>
      </c>
      <c r="D757" s="58" t="s">
        <v>69</v>
      </c>
      <c r="E757" s="104" t="s">
        <v>69</v>
      </c>
      <c r="F757" s="81" t="s">
        <v>133</v>
      </c>
      <c r="G757" s="66" t="s">
        <v>135</v>
      </c>
      <c r="H757" s="66" t="s">
        <v>135</v>
      </c>
      <c r="I757" s="71" t="s">
        <v>230</v>
      </c>
      <c r="J757" s="67" t="s">
        <v>240</v>
      </c>
      <c r="K757" s="372" t="s">
        <v>23</v>
      </c>
      <c r="L757" s="68">
        <f>317254.87+80000</f>
        <v>397254.87</v>
      </c>
      <c r="M757" s="69">
        <v>0</v>
      </c>
      <c r="N757" s="216">
        <f>287385.12+20116.98</f>
        <v>307502.09999999998</v>
      </c>
      <c r="O757" s="216">
        <f>-64154.96-4490.87</f>
        <v>-68645.83</v>
      </c>
      <c r="P757" s="216">
        <f>O757+N757</f>
        <v>238856.26999999996</v>
      </c>
      <c r="Q757" s="215">
        <f>287720.4+20140.43</f>
        <v>307860.83</v>
      </c>
      <c r="R757" s="216">
        <f>-64206.76-4494.48</f>
        <v>-68701.240000000005</v>
      </c>
      <c r="S757" s="216">
        <v>1176.1600000000001</v>
      </c>
      <c r="T757" s="216">
        <f>S757+P757</f>
        <v>240032.42999999996</v>
      </c>
      <c r="U757" s="217">
        <f>R757+Q757</f>
        <v>239159.59000000003</v>
      </c>
      <c r="V757" s="216">
        <f>258492.62+18094.48</f>
        <v>276587.09999999998</v>
      </c>
      <c r="W757" s="215">
        <f>-29143.23-2040.02</f>
        <v>-31183.25</v>
      </c>
      <c r="X757" s="215">
        <v>0</v>
      </c>
      <c r="Y757" s="216">
        <f>X757+U757</f>
        <v>239159.59000000003</v>
      </c>
      <c r="Z757" s="217">
        <f>W757+V757</f>
        <v>245403.84999999998</v>
      </c>
      <c r="AA757" s="216">
        <v>0</v>
      </c>
      <c r="AB757" s="216">
        <f>AA757+Z757</f>
        <v>245403.84999999998</v>
      </c>
    </row>
    <row r="758" spans="1:28" ht="63.75" x14ac:dyDescent="0.2">
      <c r="A758" s="212" t="s">
        <v>297</v>
      </c>
      <c r="B758" s="58" t="s">
        <v>119</v>
      </c>
      <c r="C758" s="59" t="s">
        <v>75</v>
      </c>
      <c r="D758" s="58" t="s">
        <v>69</v>
      </c>
      <c r="E758" s="104" t="s">
        <v>69</v>
      </c>
      <c r="F758" s="81" t="s">
        <v>133</v>
      </c>
      <c r="G758" s="66" t="s">
        <v>135</v>
      </c>
      <c r="H758" s="66" t="s">
        <v>135</v>
      </c>
      <c r="I758" s="81" t="s">
        <v>256</v>
      </c>
      <c r="J758" s="67" t="s">
        <v>135</v>
      </c>
      <c r="K758" s="292"/>
      <c r="L758" s="68"/>
      <c r="M758" s="69"/>
      <c r="N758" s="216">
        <f t="shared" ref="N758:AB759" si="394">N759</f>
        <v>184685.74</v>
      </c>
      <c r="O758" s="216">
        <f t="shared" si="394"/>
        <v>-2085.31</v>
      </c>
      <c r="P758" s="216">
        <f t="shared" si="394"/>
        <v>182600.43</v>
      </c>
      <c r="Q758" s="215">
        <f t="shared" si="394"/>
        <v>184685.74</v>
      </c>
      <c r="R758" s="216">
        <f t="shared" si="394"/>
        <v>-2085.31</v>
      </c>
      <c r="S758" s="216">
        <f t="shared" si="394"/>
        <v>899.15</v>
      </c>
      <c r="T758" s="216">
        <f t="shared" si="394"/>
        <v>183499.58</v>
      </c>
      <c r="U758" s="217">
        <f t="shared" si="394"/>
        <v>182600.43</v>
      </c>
      <c r="V758" s="216">
        <f t="shared" si="394"/>
        <v>186685.74</v>
      </c>
      <c r="W758" s="215">
        <f t="shared" si="394"/>
        <v>-2085.31</v>
      </c>
      <c r="X758" s="215">
        <f t="shared" si="394"/>
        <v>0</v>
      </c>
      <c r="Y758" s="216">
        <f t="shared" si="394"/>
        <v>182600.43</v>
      </c>
      <c r="Z758" s="217">
        <f t="shared" si="394"/>
        <v>184600.43</v>
      </c>
      <c r="AA758" s="216">
        <f t="shared" si="394"/>
        <v>0</v>
      </c>
      <c r="AB758" s="216">
        <f t="shared" si="394"/>
        <v>184600.43</v>
      </c>
    </row>
    <row r="759" spans="1:28" ht="25.5" x14ac:dyDescent="0.2">
      <c r="A759" s="212" t="s">
        <v>21</v>
      </c>
      <c r="B759" s="58" t="s">
        <v>119</v>
      </c>
      <c r="C759" s="59" t="s">
        <v>75</v>
      </c>
      <c r="D759" s="58" t="s">
        <v>69</v>
      </c>
      <c r="E759" s="103" t="s">
        <v>69</v>
      </c>
      <c r="F759" s="66" t="s">
        <v>133</v>
      </c>
      <c r="G759" s="66" t="s">
        <v>135</v>
      </c>
      <c r="H759" s="66" t="s">
        <v>135</v>
      </c>
      <c r="I759" s="66" t="s">
        <v>256</v>
      </c>
      <c r="J759" s="67" t="s">
        <v>135</v>
      </c>
      <c r="K759" s="309" t="s">
        <v>149</v>
      </c>
      <c r="L759" s="68"/>
      <c r="M759" s="69"/>
      <c r="N759" s="216">
        <f t="shared" si="394"/>
        <v>184685.74</v>
      </c>
      <c r="O759" s="216">
        <f t="shared" si="394"/>
        <v>-2085.31</v>
      </c>
      <c r="P759" s="216">
        <f t="shared" si="394"/>
        <v>182600.43</v>
      </c>
      <c r="Q759" s="215">
        <f t="shared" si="394"/>
        <v>184685.74</v>
      </c>
      <c r="R759" s="216">
        <f t="shared" si="394"/>
        <v>-2085.31</v>
      </c>
      <c r="S759" s="216">
        <f t="shared" si="394"/>
        <v>899.15</v>
      </c>
      <c r="T759" s="216">
        <f t="shared" si="394"/>
        <v>183499.58</v>
      </c>
      <c r="U759" s="217">
        <f t="shared" si="394"/>
        <v>182600.43</v>
      </c>
      <c r="V759" s="216">
        <f t="shared" si="394"/>
        <v>186685.74</v>
      </c>
      <c r="W759" s="215">
        <f t="shared" si="394"/>
        <v>-2085.31</v>
      </c>
      <c r="X759" s="215">
        <f t="shared" si="394"/>
        <v>0</v>
      </c>
      <c r="Y759" s="216">
        <f t="shared" si="394"/>
        <v>182600.43</v>
      </c>
      <c r="Z759" s="217">
        <f t="shared" si="394"/>
        <v>184600.43</v>
      </c>
      <c r="AA759" s="216">
        <f t="shared" si="394"/>
        <v>0</v>
      </c>
      <c r="AB759" s="216">
        <f t="shared" si="394"/>
        <v>184600.43</v>
      </c>
    </row>
    <row r="760" spans="1:28" x14ac:dyDescent="0.2">
      <c r="A760" s="212" t="s">
        <v>22</v>
      </c>
      <c r="B760" s="58" t="s">
        <v>119</v>
      </c>
      <c r="C760" s="59" t="s">
        <v>75</v>
      </c>
      <c r="D760" s="58" t="s">
        <v>69</v>
      </c>
      <c r="E760" s="103" t="s">
        <v>69</v>
      </c>
      <c r="F760" s="66" t="s">
        <v>133</v>
      </c>
      <c r="G760" s="66" t="s">
        <v>135</v>
      </c>
      <c r="H760" s="66" t="s">
        <v>135</v>
      </c>
      <c r="I760" s="66" t="s">
        <v>256</v>
      </c>
      <c r="J760" s="67" t="s">
        <v>135</v>
      </c>
      <c r="K760" s="309" t="s">
        <v>23</v>
      </c>
      <c r="L760" s="68"/>
      <c r="M760" s="69"/>
      <c r="N760" s="216">
        <f>172602.72+12083.02</f>
        <v>184685.74</v>
      </c>
      <c r="O760" s="216">
        <f>-1948.11-137.2</f>
        <v>-2085.31</v>
      </c>
      <c r="P760" s="216">
        <f>O760+N760</f>
        <v>182600.43</v>
      </c>
      <c r="Q760" s="215">
        <f>172602.72+12083.02</f>
        <v>184685.74</v>
      </c>
      <c r="R760" s="216">
        <f>-1948.11-137.2</f>
        <v>-2085.31</v>
      </c>
      <c r="S760" s="216">
        <v>899.15</v>
      </c>
      <c r="T760" s="216">
        <f>S760+P760</f>
        <v>183499.58</v>
      </c>
      <c r="U760" s="217">
        <f>R760+Q760</f>
        <v>182600.43</v>
      </c>
      <c r="V760" s="216">
        <f>172602.72+14083.02</f>
        <v>186685.74</v>
      </c>
      <c r="W760" s="215">
        <f>-1948.11-137.2</f>
        <v>-2085.31</v>
      </c>
      <c r="X760" s="215">
        <v>0</v>
      </c>
      <c r="Y760" s="216">
        <v>182600.43</v>
      </c>
      <c r="Z760" s="217">
        <f>W760+V760</f>
        <v>184600.43</v>
      </c>
      <c r="AA760" s="216">
        <v>0</v>
      </c>
      <c r="AB760" s="216">
        <v>184600.43</v>
      </c>
    </row>
    <row r="761" spans="1:28" ht="38.25" x14ac:dyDescent="0.2">
      <c r="A761" s="212" t="s">
        <v>347</v>
      </c>
      <c r="B761" s="58" t="s">
        <v>119</v>
      </c>
      <c r="C761" s="59" t="s">
        <v>75</v>
      </c>
      <c r="D761" s="58" t="s">
        <v>69</v>
      </c>
      <c r="E761" s="103" t="s">
        <v>69</v>
      </c>
      <c r="F761" s="66" t="s">
        <v>133</v>
      </c>
      <c r="G761" s="66" t="s">
        <v>135</v>
      </c>
      <c r="H761" s="66" t="s">
        <v>135</v>
      </c>
      <c r="I761" s="72" t="s">
        <v>389</v>
      </c>
      <c r="J761" s="67" t="s">
        <v>135</v>
      </c>
      <c r="K761" s="372"/>
      <c r="L761" s="64" t="e">
        <f>L762+#REF!</f>
        <v>#REF!</v>
      </c>
      <c r="M761" s="65" t="e">
        <f>M762+#REF!</f>
        <v>#REF!</v>
      </c>
      <c r="N761" s="224">
        <f t="shared" ref="L761:AB769" si="395">N762</f>
        <v>0</v>
      </c>
      <c r="O761" s="224">
        <f t="shared" si="395"/>
        <v>0</v>
      </c>
      <c r="P761" s="224">
        <f t="shared" si="395"/>
        <v>13631000</v>
      </c>
      <c r="Q761" s="223">
        <f t="shared" si="395"/>
        <v>1120000</v>
      </c>
      <c r="R761" s="224">
        <f t="shared" si="395"/>
        <v>0</v>
      </c>
      <c r="S761" s="224">
        <f t="shared" si="395"/>
        <v>194795.62000000011</v>
      </c>
      <c r="T761" s="224">
        <f t="shared" si="395"/>
        <v>13825795.620000001</v>
      </c>
      <c r="U761" s="225">
        <f t="shared" si="395"/>
        <v>0</v>
      </c>
      <c r="V761" s="224">
        <f t="shared" si="395"/>
        <v>220000</v>
      </c>
      <c r="W761" s="223">
        <f t="shared" si="395"/>
        <v>0</v>
      </c>
      <c r="X761" s="223">
        <f t="shared" si="395"/>
        <v>0</v>
      </c>
      <c r="Y761" s="224">
        <f t="shared" si="395"/>
        <v>0</v>
      </c>
      <c r="Z761" s="225">
        <f t="shared" si="395"/>
        <v>0</v>
      </c>
      <c r="AA761" s="224">
        <f t="shared" si="395"/>
        <v>0</v>
      </c>
      <c r="AB761" s="224">
        <f t="shared" si="395"/>
        <v>0</v>
      </c>
    </row>
    <row r="762" spans="1:28" ht="25.5" x14ac:dyDescent="0.2">
      <c r="A762" s="212" t="s">
        <v>21</v>
      </c>
      <c r="B762" s="58" t="s">
        <v>119</v>
      </c>
      <c r="C762" s="59" t="s">
        <v>75</v>
      </c>
      <c r="D762" s="58" t="s">
        <v>69</v>
      </c>
      <c r="E762" s="103" t="s">
        <v>69</v>
      </c>
      <c r="F762" s="66" t="s">
        <v>133</v>
      </c>
      <c r="G762" s="66" t="s">
        <v>135</v>
      </c>
      <c r="H762" s="66" t="s">
        <v>135</v>
      </c>
      <c r="I762" s="72" t="s">
        <v>389</v>
      </c>
      <c r="J762" s="67" t="s">
        <v>135</v>
      </c>
      <c r="K762" s="372" t="s">
        <v>149</v>
      </c>
      <c r="L762" s="64">
        <f t="shared" si="395"/>
        <v>60000</v>
      </c>
      <c r="M762" s="65">
        <f t="shared" si="395"/>
        <v>0</v>
      </c>
      <c r="N762" s="224">
        <f t="shared" si="395"/>
        <v>0</v>
      </c>
      <c r="O762" s="224">
        <f t="shared" si="395"/>
        <v>0</v>
      </c>
      <c r="P762" s="224">
        <f t="shared" si="395"/>
        <v>13631000</v>
      </c>
      <c r="Q762" s="223">
        <f t="shared" si="395"/>
        <v>1120000</v>
      </c>
      <c r="R762" s="224">
        <f t="shared" si="395"/>
        <v>0</v>
      </c>
      <c r="S762" s="224">
        <f t="shared" si="395"/>
        <v>194795.62000000011</v>
      </c>
      <c r="T762" s="224">
        <f t="shared" si="395"/>
        <v>13825795.620000001</v>
      </c>
      <c r="U762" s="225">
        <f t="shared" si="395"/>
        <v>0</v>
      </c>
      <c r="V762" s="224">
        <f t="shared" si="395"/>
        <v>220000</v>
      </c>
      <c r="W762" s="223">
        <f t="shared" si="395"/>
        <v>0</v>
      </c>
      <c r="X762" s="223">
        <f t="shared" si="395"/>
        <v>0</v>
      </c>
      <c r="Y762" s="224">
        <f t="shared" si="395"/>
        <v>0</v>
      </c>
      <c r="Z762" s="225">
        <f t="shared" si="395"/>
        <v>0</v>
      </c>
      <c r="AA762" s="224">
        <f t="shared" si="395"/>
        <v>0</v>
      </c>
      <c r="AB762" s="224">
        <f t="shared" si="395"/>
        <v>0</v>
      </c>
    </row>
    <row r="763" spans="1:28" x14ac:dyDescent="0.2">
      <c r="A763" s="212" t="s">
        <v>22</v>
      </c>
      <c r="B763" s="58" t="s">
        <v>119</v>
      </c>
      <c r="C763" s="59" t="s">
        <v>75</v>
      </c>
      <c r="D763" s="58" t="s">
        <v>69</v>
      </c>
      <c r="E763" s="103" t="s">
        <v>69</v>
      </c>
      <c r="F763" s="66" t="s">
        <v>133</v>
      </c>
      <c r="G763" s="66" t="s">
        <v>135</v>
      </c>
      <c r="H763" s="66" t="s">
        <v>135</v>
      </c>
      <c r="I763" s="72" t="s">
        <v>389</v>
      </c>
      <c r="J763" s="67" t="s">
        <v>135</v>
      </c>
      <c r="K763" s="372" t="s">
        <v>23</v>
      </c>
      <c r="L763" s="64">
        <v>60000</v>
      </c>
      <c r="M763" s="65">
        <v>0</v>
      </c>
      <c r="N763" s="224">
        <v>0</v>
      </c>
      <c r="O763" s="224">
        <v>0</v>
      </c>
      <c r="P763" s="224">
        <v>13631000</v>
      </c>
      <c r="Q763" s="223">
        <v>1120000</v>
      </c>
      <c r="R763" s="224">
        <v>0</v>
      </c>
      <c r="S763" s="224">
        <f>1381000-1186204.38</f>
        <v>194795.62000000011</v>
      </c>
      <c r="T763" s="224">
        <f>S763+P763</f>
        <v>13825795.620000001</v>
      </c>
      <c r="U763" s="225">
        <v>0</v>
      </c>
      <c r="V763" s="224">
        <v>220000</v>
      </c>
      <c r="W763" s="223">
        <v>0</v>
      </c>
      <c r="X763" s="223">
        <v>0</v>
      </c>
      <c r="Y763" s="224">
        <v>0</v>
      </c>
      <c r="Z763" s="225">
        <v>0</v>
      </c>
      <c r="AA763" s="224">
        <v>0</v>
      </c>
      <c r="AB763" s="224">
        <v>0</v>
      </c>
    </row>
    <row r="764" spans="1:28" ht="38.25" x14ac:dyDescent="0.2">
      <c r="A764" s="212" t="s">
        <v>419</v>
      </c>
      <c r="B764" s="58" t="s">
        <v>119</v>
      </c>
      <c r="C764" s="59" t="s">
        <v>75</v>
      </c>
      <c r="D764" s="58" t="s">
        <v>69</v>
      </c>
      <c r="E764" s="103" t="s">
        <v>69</v>
      </c>
      <c r="F764" s="66" t="s">
        <v>133</v>
      </c>
      <c r="G764" s="66" t="s">
        <v>410</v>
      </c>
      <c r="H764" s="66" t="s">
        <v>137</v>
      </c>
      <c r="I764" s="72" t="s">
        <v>411</v>
      </c>
      <c r="J764" s="67" t="s">
        <v>137</v>
      </c>
      <c r="K764" s="372"/>
      <c r="L764" s="64" t="e">
        <f>L765+#REF!</f>
        <v>#REF!</v>
      </c>
      <c r="M764" s="65" t="e">
        <f>M765+#REF!</f>
        <v>#REF!</v>
      </c>
      <c r="N764" s="224">
        <f t="shared" si="395"/>
        <v>0</v>
      </c>
      <c r="O764" s="224">
        <f t="shared" si="395"/>
        <v>0</v>
      </c>
      <c r="P764" s="224">
        <f t="shared" si="395"/>
        <v>8163265.3099999996</v>
      </c>
      <c r="Q764" s="223">
        <f t="shared" si="395"/>
        <v>1120000</v>
      </c>
      <c r="R764" s="224">
        <f t="shared" si="395"/>
        <v>0</v>
      </c>
      <c r="S764" s="224">
        <f t="shared" si="395"/>
        <v>0</v>
      </c>
      <c r="T764" s="224">
        <f t="shared" si="395"/>
        <v>8163265.3099999996</v>
      </c>
      <c r="U764" s="225">
        <f t="shared" si="395"/>
        <v>0</v>
      </c>
      <c r="V764" s="224">
        <f t="shared" si="395"/>
        <v>220000</v>
      </c>
      <c r="W764" s="223">
        <f t="shared" si="395"/>
        <v>0</v>
      </c>
      <c r="X764" s="223">
        <f t="shared" si="395"/>
        <v>0</v>
      </c>
      <c r="Y764" s="224">
        <f t="shared" si="395"/>
        <v>0</v>
      </c>
      <c r="Z764" s="225">
        <f t="shared" si="395"/>
        <v>0</v>
      </c>
      <c r="AA764" s="224">
        <f t="shared" si="395"/>
        <v>0</v>
      </c>
      <c r="AB764" s="224">
        <f t="shared" si="395"/>
        <v>0</v>
      </c>
    </row>
    <row r="765" spans="1:28" ht="25.5" x14ac:dyDescent="0.2">
      <c r="A765" s="212" t="s">
        <v>21</v>
      </c>
      <c r="B765" s="58" t="s">
        <v>119</v>
      </c>
      <c r="C765" s="59" t="s">
        <v>75</v>
      </c>
      <c r="D765" s="58" t="s">
        <v>69</v>
      </c>
      <c r="E765" s="103" t="s">
        <v>69</v>
      </c>
      <c r="F765" s="66" t="s">
        <v>133</v>
      </c>
      <c r="G765" s="66" t="s">
        <v>410</v>
      </c>
      <c r="H765" s="66" t="s">
        <v>137</v>
      </c>
      <c r="I765" s="72" t="s">
        <v>411</v>
      </c>
      <c r="J765" s="67" t="s">
        <v>137</v>
      </c>
      <c r="K765" s="372" t="s">
        <v>149</v>
      </c>
      <c r="L765" s="64">
        <f t="shared" si="395"/>
        <v>60000</v>
      </c>
      <c r="M765" s="65">
        <f t="shared" si="395"/>
        <v>0</v>
      </c>
      <c r="N765" s="224">
        <f t="shared" si="395"/>
        <v>0</v>
      </c>
      <c r="O765" s="224">
        <f t="shared" si="395"/>
        <v>0</v>
      </c>
      <c r="P765" s="224">
        <f t="shared" si="395"/>
        <v>8163265.3099999996</v>
      </c>
      <c r="Q765" s="223">
        <f t="shared" si="395"/>
        <v>1120000</v>
      </c>
      <c r="R765" s="224">
        <f t="shared" si="395"/>
        <v>0</v>
      </c>
      <c r="S765" s="224">
        <f t="shared" si="395"/>
        <v>0</v>
      </c>
      <c r="T765" s="224">
        <f t="shared" si="395"/>
        <v>8163265.3099999996</v>
      </c>
      <c r="U765" s="225">
        <f t="shared" si="395"/>
        <v>0</v>
      </c>
      <c r="V765" s="224">
        <f t="shared" si="395"/>
        <v>220000</v>
      </c>
      <c r="W765" s="223">
        <f t="shared" si="395"/>
        <v>0</v>
      </c>
      <c r="X765" s="223">
        <f t="shared" si="395"/>
        <v>0</v>
      </c>
      <c r="Y765" s="224">
        <f t="shared" si="395"/>
        <v>0</v>
      </c>
      <c r="Z765" s="225">
        <f t="shared" si="395"/>
        <v>0</v>
      </c>
      <c r="AA765" s="224">
        <f t="shared" si="395"/>
        <v>0</v>
      </c>
      <c r="AB765" s="224">
        <f t="shared" si="395"/>
        <v>0</v>
      </c>
    </row>
    <row r="766" spans="1:28" x14ac:dyDescent="0.2">
      <c r="A766" s="212" t="s">
        <v>22</v>
      </c>
      <c r="B766" s="58" t="s">
        <v>119</v>
      </c>
      <c r="C766" s="59" t="s">
        <v>75</v>
      </c>
      <c r="D766" s="58" t="s">
        <v>69</v>
      </c>
      <c r="E766" s="103" t="s">
        <v>69</v>
      </c>
      <c r="F766" s="66" t="s">
        <v>133</v>
      </c>
      <c r="G766" s="66" t="s">
        <v>410</v>
      </c>
      <c r="H766" s="66" t="s">
        <v>137</v>
      </c>
      <c r="I766" s="72" t="s">
        <v>411</v>
      </c>
      <c r="J766" s="67" t="s">
        <v>137</v>
      </c>
      <c r="K766" s="372" t="s">
        <v>23</v>
      </c>
      <c r="L766" s="64">
        <v>60000</v>
      </c>
      <c r="M766" s="65">
        <v>0</v>
      </c>
      <c r="N766" s="224">
        <v>0</v>
      </c>
      <c r="O766" s="224">
        <v>0</v>
      </c>
      <c r="P766" s="224">
        <v>8163265.3099999996</v>
      </c>
      <c r="Q766" s="223">
        <v>1120000</v>
      </c>
      <c r="R766" s="224">
        <v>0</v>
      </c>
      <c r="S766" s="224">
        <v>0</v>
      </c>
      <c r="T766" s="224">
        <f>P766</f>
        <v>8163265.3099999996</v>
      </c>
      <c r="U766" s="225">
        <v>0</v>
      </c>
      <c r="V766" s="224">
        <v>220000</v>
      </c>
      <c r="W766" s="223">
        <v>0</v>
      </c>
      <c r="X766" s="223">
        <v>0</v>
      </c>
      <c r="Y766" s="224">
        <v>0</v>
      </c>
      <c r="Z766" s="225">
        <v>0</v>
      </c>
      <c r="AA766" s="224">
        <v>0</v>
      </c>
      <c r="AB766" s="224">
        <v>0</v>
      </c>
    </row>
    <row r="767" spans="1:28" ht="38.25" x14ac:dyDescent="0.2">
      <c r="A767" s="212" t="s">
        <v>356</v>
      </c>
      <c r="B767" s="58" t="s">
        <v>119</v>
      </c>
      <c r="C767" s="59" t="s">
        <v>75</v>
      </c>
      <c r="D767" s="58" t="s">
        <v>69</v>
      </c>
      <c r="E767" s="103" t="s">
        <v>72</v>
      </c>
      <c r="F767" s="66" t="s">
        <v>135</v>
      </c>
      <c r="G767" s="66" t="s">
        <v>135</v>
      </c>
      <c r="H767" s="66" t="s">
        <v>135</v>
      </c>
      <c r="I767" s="72" t="s">
        <v>136</v>
      </c>
      <c r="J767" s="67" t="s">
        <v>135</v>
      </c>
      <c r="K767" s="372"/>
      <c r="L767" s="64"/>
      <c r="M767" s="65"/>
      <c r="N767" s="224"/>
      <c r="O767" s="224"/>
      <c r="P767" s="224">
        <f>P768</f>
        <v>0</v>
      </c>
      <c r="Q767" s="224">
        <f t="shared" ref="Q767:AB767" si="396">Q768</f>
        <v>1120000</v>
      </c>
      <c r="R767" s="224">
        <f t="shared" si="396"/>
        <v>0</v>
      </c>
      <c r="S767" s="224">
        <f t="shared" si="396"/>
        <v>4799254</v>
      </c>
      <c r="T767" s="224">
        <f t="shared" si="396"/>
        <v>4799254</v>
      </c>
      <c r="U767" s="225">
        <f t="shared" si="396"/>
        <v>0</v>
      </c>
      <c r="V767" s="224">
        <f t="shared" si="396"/>
        <v>220000</v>
      </c>
      <c r="W767" s="224">
        <f t="shared" si="396"/>
        <v>0</v>
      </c>
      <c r="X767" s="223">
        <f t="shared" si="396"/>
        <v>0</v>
      </c>
      <c r="Y767" s="224">
        <f t="shared" si="396"/>
        <v>0</v>
      </c>
      <c r="Z767" s="225">
        <f t="shared" si="396"/>
        <v>0</v>
      </c>
      <c r="AA767" s="224">
        <f t="shared" si="396"/>
        <v>0</v>
      </c>
      <c r="AB767" s="224">
        <f t="shared" si="396"/>
        <v>0</v>
      </c>
    </row>
    <row r="768" spans="1:28" ht="51" x14ac:dyDescent="0.2">
      <c r="A768" s="212" t="s">
        <v>358</v>
      </c>
      <c r="B768" s="58" t="s">
        <v>119</v>
      </c>
      <c r="C768" s="59" t="s">
        <v>75</v>
      </c>
      <c r="D768" s="58" t="s">
        <v>69</v>
      </c>
      <c r="E768" s="103" t="s">
        <v>72</v>
      </c>
      <c r="F768" s="66" t="s">
        <v>135</v>
      </c>
      <c r="G768" s="66" t="s">
        <v>135</v>
      </c>
      <c r="H768" s="66" t="s">
        <v>135</v>
      </c>
      <c r="I768" s="72" t="s">
        <v>357</v>
      </c>
      <c r="J768" s="67" t="s">
        <v>135</v>
      </c>
      <c r="K768" s="372"/>
      <c r="L768" s="64" t="e">
        <f>L769+#REF!</f>
        <v>#REF!</v>
      </c>
      <c r="M768" s="65" t="e">
        <f>M769+#REF!</f>
        <v>#REF!</v>
      </c>
      <c r="N768" s="224">
        <f t="shared" si="395"/>
        <v>0</v>
      </c>
      <c r="O768" s="224">
        <f t="shared" si="395"/>
        <v>0</v>
      </c>
      <c r="P768" s="224">
        <f t="shared" si="395"/>
        <v>0</v>
      </c>
      <c r="Q768" s="223">
        <f t="shared" si="395"/>
        <v>1120000</v>
      </c>
      <c r="R768" s="224">
        <f t="shared" si="395"/>
        <v>0</v>
      </c>
      <c r="S768" s="224">
        <f t="shared" si="395"/>
        <v>4799254</v>
      </c>
      <c r="T768" s="224">
        <f t="shared" si="395"/>
        <v>4799254</v>
      </c>
      <c r="U768" s="225">
        <f t="shared" si="395"/>
        <v>0</v>
      </c>
      <c r="V768" s="224">
        <f t="shared" si="395"/>
        <v>220000</v>
      </c>
      <c r="W768" s="223">
        <f t="shared" si="395"/>
        <v>0</v>
      </c>
      <c r="X768" s="223">
        <f t="shared" si="395"/>
        <v>0</v>
      </c>
      <c r="Y768" s="224">
        <f t="shared" si="395"/>
        <v>0</v>
      </c>
      <c r="Z768" s="225">
        <f t="shared" si="395"/>
        <v>0</v>
      </c>
      <c r="AA768" s="224">
        <f t="shared" si="395"/>
        <v>0</v>
      </c>
      <c r="AB768" s="224">
        <f t="shared" si="395"/>
        <v>0</v>
      </c>
    </row>
    <row r="769" spans="1:28" ht="25.5" x14ac:dyDescent="0.2">
      <c r="A769" s="212" t="s">
        <v>21</v>
      </c>
      <c r="B769" s="58" t="s">
        <v>119</v>
      </c>
      <c r="C769" s="59" t="s">
        <v>75</v>
      </c>
      <c r="D769" s="58" t="s">
        <v>69</v>
      </c>
      <c r="E769" s="103" t="s">
        <v>72</v>
      </c>
      <c r="F769" s="66" t="s">
        <v>135</v>
      </c>
      <c r="G769" s="66" t="s">
        <v>135</v>
      </c>
      <c r="H769" s="66" t="s">
        <v>135</v>
      </c>
      <c r="I769" s="72" t="s">
        <v>357</v>
      </c>
      <c r="J769" s="67" t="s">
        <v>135</v>
      </c>
      <c r="K769" s="372" t="s">
        <v>149</v>
      </c>
      <c r="L769" s="64">
        <f t="shared" si="395"/>
        <v>60000</v>
      </c>
      <c r="M769" s="65">
        <f t="shared" si="395"/>
        <v>0</v>
      </c>
      <c r="N769" s="224">
        <f t="shared" si="395"/>
        <v>0</v>
      </c>
      <c r="O769" s="224">
        <f t="shared" si="395"/>
        <v>0</v>
      </c>
      <c r="P769" s="224">
        <f t="shared" si="395"/>
        <v>0</v>
      </c>
      <c r="Q769" s="223">
        <f t="shared" si="395"/>
        <v>1120000</v>
      </c>
      <c r="R769" s="224">
        <f t="shared" si="395"/>
        <v>0</v>
      </c>
      <c r="S769" s="224">
        <f t="shared" si="395"/>
        <v>4799254</v>
      </c>
      <c r="T769" s="224">
        <f t="shared" si="395"/>
        <v>4799254</v>
      </c>
      <c r="U769" s="225">
        <f t="shared" si="395"/>
        <v>0</v>
      </c>
      <c r="V769" s="224">
        <f t="shared" si="395"/>
        <v>220000</v>
      </c>
      <c r="W769" s="223">
        <f t="shared" si="395"/>
        <v>0</v>
      </c>
      <c r="X769" s="223">
        <f t="shared" si="395"/>
        <v>0</v>
      </c>
      <c r="Y769" s="224">
        <f t="shared" si="395"/>
        <v>0</v>
      </c>
      <c r="Z769" s="225">
        <f t="shared" si="395"/>
        <v>0</v>
      </c>
      <c r="AA769" s="224">
        <f t="shared" si="395"/>
        <v>0</v>
      </c>
      <c r="AB769" s="224">
        <f t="shared" si="395"/>
        <v>0</v>
      </c>
    </row>
    <row r="770" spans="1:28" x14ac:dyDescent="0.2">
      <c r="A770" s="212" t="s">
        <v>22</v>
      </c>
      <c r="B770" s="58" t="s">
        <v>119</v>
      </c>
      <c r="C770" s="59" t="s">
        <v>75</v>
      </c>
      <c r="D770" s="58" t="s">
        <v>69</v>
      </c>
      <c r="E770" s="103" t="s">
        <v>72</v>
      </c>
      <c r="F770" s="66" t="s">
        <v>135</v>
      </c>
      <c r="G770" s="66" t="s">
        <v>135</v>
      </c>
      <c r="H770" s="66" t="s">
        <v>135</v>
      </c>
      <c r="I770" s="72" t="s">
        <v>357</v>
      </c>
      <c r="J770" s="67" t="s">
        <v>135</v>
      </c>
      <c r="K770" s="372" t="s">
        <v>23</v>
      </c>
      <c r="L770" s="64">
        <v>60000</v>
      </c>
      <c r="M770" s="65">
        <v>0</v>
      </c>
      <c r="N770" s="224">
        <v>0</v>
      </c>
      <c r="O770" s="224">
        <v>0</v>
      </c>
      <c r="P770" s="224">
        <v>0</v>
      </c>
      <c r="Q770" s="223">
        <v>1120000</v>
      </c>
      <c r="R770" s="224">
        <v>0</v>
      </c>
      <c r="S770" s="224">
        <v>4799254</v>
      </c>
      <c r="T770" s="224">
        <f>S770</f>
        <v>4799254</v>
      </c>
      <c r="U770" s="225">
        <v>0</v>
      </c>
      <c r="V770" s="224">
        <v>220000</v>
      </c>
      <c r="W770" s="223">
        <v>0</v>
      </c>
      <c r="X770" s="223">
        <v>0</v>
      </c>
      <c r="Y770" s="224">
        <v>0</v>
      </c>
      <c r="Z770" s="225">
        <v>0</v>
      </c>
      <c r="AA770" s="224">
        <v>0</v>
      </c>
      <c r="AB770" s="224">
        <v>0</v>
      </c>
    </row>
    <row r="771" spans="1:28" ht="17.25" customHeight="1" x14ac:dyDescent="0.2">
      <c r="A771" s="207" t="s">
        <v>121</v>
      </c>
      <c r="B771" s="411">
        <v>334</v>
      </c>
      <c r="C771" s="59" t="s">
        <v>75</v>
      </c>
      <c r="D771" s="58" t="s">
        <v>71</v>
      </c>
      <c r="E771" s="390"/>
      <c r="F771" s="143"/>
      <c r="G771" s="66"/>
      <c r="H771" s="66"/>
      <c r="I771" s="60"/>
      <c r="J771" s="67"/>
      <c r="K771" s="408"/>
      <c r="L771" s="64">
        <f t="shared" ref="L771:P773" si="397">L772</f>
        <v>5729400</v>
      </c>
      <c r="M771" s="65">
        <f t="shared" si="397"/>
        <v>0</v>
      </c>
      <c r="N771" s="224">
        <f t="shared" si="397"/>
        <v>8698560.7400000002</v>
      </c>
      <c r="O771" s="224">
        <f t="shared" si="397"/>
        <v>0</v>
      </c>
      <c r="P771" s="224">
        <f t="shared" si="397"/>
        <v>8698560.7400000002</v>
      </c>
      <c r="Q771" s="223">
        <f t="shared" ref="Q771:AB773" si="398">Q772</f>
        <v>8698560.7400000002</v>
      </c>
      <c r="R771" s="224">
        <f t="shared" si="398"/>
        <v>0</v>
      </c>
      <c r="S771" s="224">
        <f t="shared" si="398"/>
        <v>0</v>
      </c>
      <c r="T771" s="224">
        <f t="shared" si="398"/>
        <v>8698560.7400000002</v>
      </c>
      <c r="U771" s="225">
        <f t="shared" si="398"/>
        <v>8698560.7400000002</v>
      </c>
      <c r="V771" s="224">
        <f t="shared" si="398"/>
        <v>8698560.7400000002</v>
      </c>
      <c r="W771" s="223">
        <f t="shared" si="398"/>
        <v>0</v>
      </c>
      <c r="X771" s="223">
        <f t="shared" si="398"/>
        <v>0</v>
      </c>
      <c r="Y771" s="224">
        <f t="shared" si="398"/>
        <v>8698560.7400000002</v>
      </c>
      <c r="Z771" s="225">
        <f t="shared" si="398"/>
        <v>8698560.7400000002</v>
      </c>
      <c r="AA771" s="224">
        <f t="shared" si="398"/>
        <v>0</v>
      </c>
      <c r="AB771" s="224">
        <f t="shared" si="398"/>
        <v>8698560.7400000002</v>
      </c>
    </row>
    <row r="772" spans="1:28" ht="25.5" x14ac:dyDescent="0.2">
      <c r="A772" s="212" t="s">
        <v>339</v>
      </c>
      <c r="B772" s="58" t="s">
        <v>119</v>
      </c>
      <c r="C772" s="59" t="s">
        <v>75</v>
      </c>
      <c r="D772" s="58" t="s">
        <v>71</v>
      </c>
      <c r="E772" s="104" t="s">
        <v>69</v>
      </c>
      <c r="F772" s="81" t="s">
        <v>135</v>
      </c>
      <c r="G772" s="66" t="s">
        <v>135</v>
      </c>
      <c r="H772" s="66" t="s">
        <v>135</v>
      </c>
      <c r="I772" s="81" t="s">
        <v>136</v>
      </c>
      <c r="J772" s="67" t="s">
        <v>135</v>
      </c>
      <c r="K772" s="408"/>
      <c r="L772" s="64">
        <f t="shared" si="397"/>
        <v>5729400</v>
      </c>
      <c r="M772" s="65">
        <f t="shared" si="397"/>
        <v>0</v>
      </c>
      <c r="N772" s="224">
        <f t="shared" si="397"/>
        <v>8698560.7400000002</v>
      </c>
      <c r="O772" s="224">
        <f t="shared" si="397"/>
        <v>0</v>
      </c>
      <c r="P772" s="224">
        <f t="shared" si="397"/>
        <v>8698560.7400000002</v>
      </c>
      <c r="Q772" s="223">
        <f t="shared" si="398"/>
        <v>8698560.7400000002</v>
      </c>
      <c r="R772" s="224">
        <f t="shared" si="398"/>
        <v>0</v>
      </c>
      <c r="S772" s="224">
        <f t="shared" si="398"/>
        <v>0</v>
      </c>
      <c r="T772" s="224">
        <f t="shared" si="398"/>
        <v>8698560.7400000002</v>
      </c>
      <c r="U772" s="225">
        <f t="shared" si="398"/>
        <v>8698560.7400000002</v>
      </c>
      <c r="V772" s="224">
        <f t="shared" si="398"/>
        <v>8698560.7400000002</v>
      </c>
      <c r="W772" s="223">
        <f t="shared" si="398"/>
        <v>0</v>
      </c>
      <c r="X772" s="223">
        <f t="shared" si="398"/>
        <v>0</v>
      </c>
      <c r="Y772" s="224">
        <f t="shared" si="398"/>
        <v>8698560.7400000002</v>
      </c>
      <c r="Z772" s="225">
        <f t="shared" si="398"/>
        <v>8698560.7400000002</v>
      </c>
      <c r="AA772" s="224">
        <f t="shared" si="398"/>
        <v>0</v>
      </c>
      <c r="AB772" s="224">
        <f t="shared" si="398"/>
        <v>8698560.7400000002</v>
      </c>
    </row>
    <row r="773" spans="1:28" ht="25.5" x14ac:dyDescent="0.2">
      <c r="A773" s="226" t="s">
        <v>341</v>
      </c>
      <c r="B773" s="58" t="s">
        <v>119</v>
      </c>
      <c r="C773" s="59" t="s">
        <v>75</v>
      </c>
      <c r="D773" s="58" t="s">
        <v>71</v>
      </c>
      <c r="E773" s="104" t="s">
        <v>69</v>
      </c>
      <c r="F773" s="81" t="s">
        <v>137</v>
      </c>
      <c r="G773" s="66" t="s">
        <v>135</v>
      </c>
      <c r="H773" s="66" t="s">
        <v>135</v>
      </c>
      <c r="I773" s="81" t="s">
        <v>136</v>
      </c>
      <c r="J773" s="67" t="s">
        <v>135</v>
      </c>
      <c r="K773" s="309"/>
      <c r="L773" s="68">
        <f t="shared" si="397"/>
        <v>5729400</v>
      </c>
      <c r="M773" s="69">
        <f t="shared" si="397"/>
        <v>0</v>
      </c>
      <c r="N773" s="216">
        <f t="shared" si="397"/>
        <v>8698560.7400000002</v>
      </c>
      <c r="O773" s="216">
        <f t="shared" si="397"/>
        <v>0</v>
      </c>
      <c r="P773" s="216">
        <f t="shared" si="397"/>
        <v>8698560.7400000002</v>
      </c>
      <c r="Q773" s="215">
        <f t="shared" si="398"/>
        <v>8698560.7400000002</v>
      </c>
      <c r="R773" s="216">
        <f t="shared" si="398"/>
        <v>0</v>
      </c>
      <c r="S773" s="216">
        <f t="shared" si="398"/>
        <v>0</v>
      </c>
      <c r="T773" s="216">
        <f t="shared" si="398"/>
        <v>8698560.7400000002</v>
      </c>
      <c r="U773" s="217">
        <f t="shared" si="398"/>
        <v>8698560.7400000002</v>
      </c>
      <c r="V773" s="216">
        <f t="shared" si="398"/>
        <v>8698560.7400000002</v>
      </c>
      <c r="W773" s="215">
        <f t="shared" si="398"/>
        <v>0</v>
      </c>
      <c r="X773" s="215">
        <f t="shared" si="398"/>
        <v>0</v>
      </c>
      <c r="Y773" s="216">
        <f t="shared" si="398"/>
        <v>8698560.7400000002</v>
      </c>
      <c r="Z773" s="217">
        <f t="shared" si="398"/>
        <v>8698560.7400000002</v>
      </c>
      <c r="AA773" s="216">
        <f t="shared" si="398"/>
        <v>0</v>
      </c>
      <c r="AB773" s="216">
        <f t="shared" si="398"/>
        <v>8698560.7400000002</v>
      </c>
    </row>
    <row r="774" spans="1:28" ht="25.5" x14ac:dyDescent="0.2">
      <c r="A774" s="213" t="s">
        <v>29</v>
      </c>
      <c r="B774" s="411">
        <v>334</v>
      </c>
      <c r="C774" s="59" t="s">
        <v>75</v>
      </c>
      <c r="D774" s="58" t="s">
        <v>71</v>
      </c>
      <c r="E774" s="103" t="s">
        <v>69</v>
      </c>
      <c r="F774" s="66" t="s">
        <v>137</v>
      </c>
      <c r="G774" s="66" t="s">
        <v>135</v>
      </c>
      <c r="H774" s="66" t="s">
        <v>135</v>
      </c>
      <c r="I774" s="66" t="s">
        <v>27</v>
      </c>
      <c r="J774" s="67" t="s">
        <v>135</v>
      </c>
      <c r="K774" s="309"/>
      <c r="L774" s="68">
        <f t="shared" ref="L774:Z774" si="399">L775+L777</f>
        <v>5729400</v>
      </c>
      <c r="M774" s="69">
        <f t="shared" si="399"/>
        <v>0</v>
      </c>
      <c r="N774" s="216">
        <f t="shared" si="399"/>
        <v>8698560.7400000002</v>
      </c>
      <c r="O774" s="216">
        <f t="shared" si="399"/>
        <v>0</v>
      </c>
      <c r="P774" s="216">
        <f t="shared" si="399"/>
        <v>8698560.7400000002</v>
      </c>
      <c r="Q774" s="215">
        <f t="shared" si="399"/>
        <v>8698560.7400000002</v>
      </c>
      <c r="R774" s="216">
        <f t="shared" si="399"/>
        <v>0</v>
      </c>
      <c r="S774" s="216">
        <f>S775+S777</f>
        <v>0</v>
      </c>
      <c r="T774" s="216">
        <f>T775+T777</f>
        <v>8698560.7400000002</v>
      </c>
      <c r="U774" s="217">
        <f t="shared" si="399"/>
        <v>8698560.7400000002</v>
      </c>
      <c r="V774" s="216">
        <f t="shared" si="399"/>
        <v>8698560.7400000002</v>
      </c>
      <c r="W774" s="215">
        <f t="shared" si="399"/>
        <v>0</v>
      </c>
      <c r="X774" s="215">
        <f>X775+X777</f>
        <v>0</v>
      </c>
      <c r="Y774" s="216">
        <f>Y775+Y777</f>
        <v>8698560.7400000002</v>
      </c>
      <c r="Z774" s="217">
        <f t="shared" si="399"/>
        <v>8698560.7400000002</v>
      </c>
      <c r="AA774" s="216">
        <f>AA775+AA777</f>
        <v>0</v>
      </c>
      <c r="AB774" s="216">
        <f>AB775+AB777</f>
        <v>8698560.7400000002</v>
      </c>
    </row>
    <row r="775" spans="1:28" ht="51" x14ac:dyDescent="0.2">
      <c r="A775" s="212" t="s">
        <v>67</v>
      </c>
      <c r="B775" s="411">
        <v>334</v>
      </c>
      <c r="C775" s="59" t="s">
        <v>75</v>
      </c>
      <c r="D775" s="58" t="s">
        <v>71</v>
      </c>
      <c r="E775" s="103" t="s">
        <v>69</v>
      </c>
      <c r="F775" s="66" t="s">
        <v>137</v>
      </c>
      <c r="G775" s="66" t="s">
        <v>135</v>
      </c>
      <c r="H775" s="66" t="s">
        <v>135</v>
      </c>
      <c r="I775" s="66" t="s">
        <v>27</v>
      </c>
      <c r="J775" s="67" t="s">
        <v>135</v>
      </c>
      <c r="K775" s="309">
        <v>100</v>
      </c>
      <c r="L775" s="68">
        <f t="shared" ref="L775:AB775" si="400">L776</f>
        <v>5556300</v>
      </c>
      <c r="M775" s="69">
        <f t="shared" si="400"/>
        <v>0</v>
      </c>
      <c r="N775" s="216">
        <f t="shared" si="400"/>
        <v>8605460.7400000002</v>
      </c>
      <c r="O775" s="216">
        <f t="shared" si="400"/>
        <v>0</v>
      </c>
      <c r="P775" s="216">
        <f t="shared" si="400"/>
        <v>8605460.7400000002</v>
      </c>
      <c r="Q775" s="215">
        <f t="shared" si="400"/>
        <v>8545460.7400000002</v>
      </c>
      <c r="R775" s="216">
        <f t="shared" si="400"/>
        <v>0</v>
      </c>
      <c r="S775" s="216">
        <f t="shared" si="400"/>
        <v>-20000</v>
      </c>
      <c r="T775" s="216">
        <f t="shared" si="400"/>
        <v>8585460.7400000002</v>
      </c>
      <c r="U775" s="217">
        <f t="shared" si="400"/>
        <v>8545460.7400000002</v>
      </c>
      <c r="V775" s="216">
        <f t="shared" si="400"/>
        <v>8605460.7400000002</v>
      </c>
      <c r="W775" s="215">
        <f t="shared" si="400"/>
        <v>0</v>
      </c>
      <c r="X775" s="215">
        <f t="shared" si="400"/>
        <v>0</v>
      </c>
      <c r="Y775" s="216">
        <f t="shared" si="400"/>
        <v>8545460.7400000002</v>
      </c>
      <c r="Z775" s="217">
        <f t="shared" si="400"/>
        <v>8605460.7400000002</v>
      </c>
      <c r="AA775" s="216">
        <f t="shared" si="400"/>
        <v>0</v>
      </c>
      <c r="AB775" s="216">
        <f t="shared" si="400"/>
        <v>8605460.7400000002</v>
      </c>
    </row>
    <row r="776" spans="1:28" ht="25.5" x14ac:dyDescent="0.2">
      <c r="A776" s="212" t="s">
        <v>61</v>
      </c>
      <c r="B776" s="411">
        <v>334</v>
      </c>
      <c r="C776" s="59" t="s">
        <v>75</v>
      </c>
      <c r="D776" s="58" t="s">
        <v>71</v>
      </c>
      <c r="E776" s="103" t="s">
        <v>69</v>
      </c>
      <c r="F776" s="66" t="s">
        <v>137</v>
      </c>
      <c r="G776" s="66" t="s">
        <v>135</v>
      </c>
      <c r="H776" s="66" t="s">
        <v>135</v>
      </c>
      <c r="I776" s="66" t="s">
        <v>27</v>
      </c>
      <c r="J776" s="67" t="s">
        <v>135</v>
      </c>
      <c r="K776" s="309">
        <v>120</v>
      </c>
      <c r="L776" s="68">
        <v>5556300</v>
      </c>
      <c r="M776" s="69">
        <v>0</v>
      </c>
      <c r="N776" s="216">
        <v>8605460.7400000002</v>
      </c>
      <c r="O776" s="216">
        <v>0</v>
      </c>
      <c r="P776" s="216">
        <v>8605460.7400000002</v>
      </c>
      <c r="Q776" s="215">
        <v>8545460.7400000002</v>
      </c>
      <c r="R776" s="216">
        <v>0</v>
      </c>
      <c r="S776" s="216">
        <v>-20000</v>
      </c>
      <c r="T776" s="216">
        <f>S776+P776</f>
        <v>8585460.7400000002</v>
      </c>
      <c r="U776" s="217">
        <v>8545460.7400000002</v>
      </c>
      <c r="V776" s="216">
        <v>8605460.7400000002</v>
      </c>
      <c r="W776" s="215">
        <v>0</v>
      </c>
      <c r="X776" s="215">
        <v>0</v>
      </c>
      <c r="Y776" s="216">
        <v>8545460.7400000002</v>
      </c>
      <c r="Z776" s="217">
        <v>8605460.7400000002</v>
      </c>
      <c r="AA776" s="216">
        <v>0</v>
      </c>
      <c r="AB776" s="216">
        <v>8605460.7400000002</v>
      </c>
    </row>
    <row r="777" spans="1:28" ht="25.5" x14ac:dyDescent="0.2">
      <c r="A777" s="212" t="s">
        <v>52</v>
      </c>
      <c r="B777" s="411">
        <v>334</v>
      </c>
      <c r="C777" s="59" t="s">
        <v>75</v>
      </c>
      <c r="D777" s="58" t="s">
        <v>71</v>
      </c>
      <c r="E777" s="103" t="s">
        <v>69</v>
      </c>
      <c r="F777" s="66" t="s">
        <v>137</v>
      </c>
      <c r="G777" s="66" t="s">
        <v>135</v>
      </c>
      <c r="H777" s="66" t="s">
        <v>135</v>
      </c>
      <c r="I777" s="66" t="s">
        <v>27</v>
      </c>
      <c r="J777" s="67" t="s">
        <v>135</v>
      </c>
      <c r="K777" s="309">
        <v>200</v>
      </c>
      <c r="L777" s="68">
        <f t="shared" ref="L777:AB777" si="401">L778</f>
        <v>173100</v>
      </c>
      <c r="M777" s="69">
        <f t="shared" si="401"/>
        <v>0</v>
      </c>
      <c r="N777" s="216">
        <f t="shared" si="401"/>
        <v>93100</v>
      </c>
      <c r="O777" s="216">
        <f t="shared" si="401"/>
        <v>0</v>
      </c>
      <c r="P777" s="216">
        <f t="shared" si="401"/>
        <v>93100</v>
      </c>
      <c r="Q777" s="215">
        <f t="shared" si="401"/>
        <v>153100</v>
      </c>
      <c r="R777" s="216">
        <f t="shared" si="401"/>
        <v>0</v>
      </c>
      <c r="S777" s="216">
        <f t="shared" si="401"/>
        <v>20000</v>
      </c>
      <c r="T777" s="216">
        <f t="shared" si="401"/>
        <v>113100</v>
      </c>
      <c r="U777" s="217">
        <f t="shared" si="401"/>
        <v>153100</v>
      </c>
      <c r="V777" s="216">
        <f t="shared" si="401"/>
        <v>93100</v>
      </c>
      <c r="W777" s="215">
        <f t="shared" si="401"/>
        <v>0</v>
      </c>
      <c r="X777" s="215">
        <f t="shared" si="401"/>
        <v>0</v>
      </c>
      <c r="Y777" s="216">
        <f t="shared" si="401"/>
        <v>153100</v>
      </c>
      <c r="Z777" s="217">
        <f t="shared" si="401"/>
        <v>93100</v>
      </c>
      <c r="AA777" s="216">
        <f t="shared" si="401"/>
        <v>0</v>
      </c>
      <c r="AB777" s="216">
        <f t="shared" si="401"/>
        <v>93100</v>
      </c>
    </row>
    <row r="778" spans="1:28" ht="25.5" x14ac:dyDescent="0.2">
      <c r="A778" s="212" t="s">
        <v>54</v>
      </c>
      <c r="B778" s="411">
        <v>334</v>
      </c>
      <c r="C778" s="59" t="s">
        <v>75</v>
      </c>
      <c r="D778" s="58" t="s">
        <v>71</v>
      </c>
      <c r="E778" s="103" t="s">
        <v>69</v>
      </c>
      <c r="F778" s="66" t="s">
        <v>137</v>
      </c>
      <c r="G778" s="66" t="s">
        <v>135</v>
      </c>
      <c r="H778" s="66" t="s">
        <v>135</v>
      </c>
      <c r="I778" s="66" t="s">
        <v>27</v>
      </c>
      <c r="J778" s="67" t="s">
        <v>135</v>
      </c>
      <c r="K778" s="309">
        <v>240</v>
      </c>
      <c r="L778" s="68">
        <v>173100</v>
      </c>
      <c r="M778" s="69">
        <v>0</v>
      </c>
      <c r="N778" s="216">
        <v>93100</v>
      </c>
      <c r="O778" s="216">
        <v>0</v>
      </c>
      <c r="P778" s="216">
        <v>93100</v>
      </c>
      <c r="Q778" s="215">
        <v>153100</v>
      </c>
      <c r="R778" s="216">
        <v>0</v>
      </c>
      <c r="S778" s="216">
        <v>20000</v>
      </c>
      <c r="T778" s="216">
        <f>S778+P778</f>
        <v>113100</v>
      </c>
      <c r="U778" s="217">
        <v>153100</v>
      </c>
      <c r="V778" s="216">
        <v>93100</v>
      </c>
      <c r="W778" s="215">
        <v>0</v>
      </c>
      <c r="X778" s="215">
        <v>0</v>
      </c>
      <c r="Y778" s="216">
        <v>153100</v>
      </c>
      <c r="Z778" s="217">
        <v>93100</v>
      </c>
      <c r="AA778" s="216">
        <v>0</v>
      </c>
      <c r="AB778" s="216">
        <v>93100</v>
      </c>
    </row>
    <row r="779" spans="1:28" ht="0.75" hidden="1" customHeight="1" x14ac:dyDescent="0.2">
      <c r="A779" s="212"/>
      <c r="B779" s="411"/>
      <c r="C779" s="59"/>
      <c r="D779" s="58"/>
      <c r="E779" s="103"/>
      <c r="F779" s="66"/>
      <c r="G779" s="66"/>
      <c r="H779" s="66"/>
      <c r="I779" s="66"/>
      <c r="J779" s="67"/>
      <c r="K779" s="309"/>
      <c r="L779" s="68"/>
      <c r="M779" s="69"/>
      <c r="N779" s="216"/>
      <c r="O779" s="216"/>
      <c r="P779" s="216"/>
      <c r="Q779" s="215"/>
      <c r="R779" s="216"/>
      <c r="S779" s="216"/>
      <c r="T779" s="216"/>
      <c r="U779" s="217"/>
      <c r="V779" s="216"/>
      <c r="W779" s="215"/>
      <c r="X779" s="215"/>
      <c r="Y779" s="216"/>
      <c r="Z779" s="217"/>
      <c r="AA779" s="216"/>
      <c r="AB779" s="216"/>
    </row>
    <row r="780" spans="1:28" ht="6" hidden="1" customHeight="1" x14ac:dyDescent="0.2">
      <c r="A780" s="280"/>
      <c r="B780" s="418"/>
      <c r="C780" s="127"/>
      <c r="D780" s="58"/>
      <c r="E780" s="129"/>
      <c r="F780" s="88"/>
      <c r="G780" s="88"/>
      <c r="H780" s="88"/>
      <c r="I780" s="88"/>
      <c r="J780" s="90"/>
      <c r="K780" s="306"/>
      <c r="L780" s="91"/>
      <c r="M780" s="92"/>
      <c r="N780" s="327"/>
      <c r="O780" s="327"/>
      <c r="P780" s="327"/>
      <c r="Q780" s="326"/>
      <c r="R780" s="327"/>
      <c r="S780" s="327"/>
      <c r="T780" s="327"/>
      <c r="U780" s="328"/>
      <c r="V780" s="327"/>
      <c r="W780" s="326"/>
      <c r="X780" s="326"/>
      <c r="Y780" s="327"/>
      <c r="Z780" s="328"/>
      <c r="AA780" s="327"/>
      <c r="AB780" s="327"/>
    </row>
    <row r="781" spans="1:28" ht="4.5" customHeight="1" x14ac:dyDescent="0.2">
      <c r="A781" s="280"/>
      <c r="B781" s="128"/>
      <c r="C781" s="127"/>
      <c r="D781" s="128"/>
      <c r="E781" s="305"/>
      <c r="F781" s="144"/>
      <c r="G781" s="88"/>
      <c r="H781" s="88"/>
      <c r="I781" s="145"/>
      <c r="J781" s="90"/>
      <c r="K781" s="298"/>
      <c r="L781" s="91"/>
      <c r="M781" s="92"/>
      <c r="N781" s="327"/>
      <c r="O781" s="327"/>
      <c r="P781" s="327"/>
      <c r="Q781" s="326"/>
      <c r="R781" s="327"/>
      <c r="S781" s="327"/>
      <c r="T781" s="327"/>
      <c r="U781" s="328"/>
      <c r="V781" s="327"/>
      <c r="W781" s="326"/>
      <c r="X781" s="326"/>
      <c r="Y781" s="327"/>
      <c r="Z781" s="328"/>
      <c r="AA781" s="327"/>
      <c r="AB781" s="327"/>
    </row>
    <row r="782" spans="1:28" s="100" customFormat="1" ht="25.5" x14ac:dyDescent="0.2">
      <c r="A782" s="402" t="s">
        <v>323</v>
      </c>
      <c r="B782" s="109">
        <v>335</v>
      </c>
      <c r="C782" s="130"/>
      <c r="D782" s="389"/>
      <c r="E782" s="140"/>
      <c r="F782" s="136"/>
      <c r="G782" s="97"/>
      <c r="H782" s="97"/>
      <c r="I782" s="136"/>
      <c r="J782" s="137"/>
      <c r="K782" s="309"/>
      <c r="L782" s="146">
        <f t="shared" ref="L782:P784" si="402">L783</f>
        <v>2141100</v>
      </c>
      <c r="M782" s="147">
        <f>M783</f>
        <v>331938</v>
      </c>
      <c r="N782" s="427">
        <f t="shared" si="402"/>
        <v>3334689.64</v>
      </c>
      <c r="O782" s="427">
        <f t="shared" si="402"/>
        <v>0</v>
      </c>
      <c r="P782" s="427">
        <f t="shared" si="402"/>
        <v>3334689.64</v>
      </c>
      <c r="Q782" s="476">
        <f t="shared" ref="Q782:AB784" si="403">Q783</f>
        <v>3334689.64</v>
      </c>
      <c r="R782" s="427">
        <f t="shared" si="403"/>
        <v>0</v>
      </c>
      <c r="S782" s="427">
        <f t="shared" si="403"/>
        <v>0</v>
      </c>
      <c r="T782" s="427">
        <f t="shared" si="403"/>
        <v>3334689.64</v>
      </c>
      <c r="U782" s="483">
        <f t="shared" si="403"/>
        <v>3334689.64</v>
      </c>
      <c r="V782" s="427">
        <f t="shared" si="403"/>
        <v>3334689.64</v>
      </c>
      <c r="W782" s="476">
        <f t="shared" si="403"/>
        <v>0</v>
      </c>
      <c r="X782" s="476">
        <f t="shared" si="403"/>
        <v>0</v>
      </c>
      <c r="Y782" s="427">
        <f t="shared" si="403"/>
        <v>3334689.64</v>
      </c>
      <c r="Z782" s="483">
        <f t="shared" si="403"/>
        <v>3334689.64</v>
      </c>
      <c r="AA782" s="427">
        <f t="shared" si="403"/>
        <v>0</v>
      </c>
      <c r="AB782" s="427">
        <f t="shared" si="403"/>
        <v>3334689.64</v>
      </c>
    </row>
    <row r="783" spans="1:28" s="100" customFormat="1" x14ac:dyDescent="0.2">
      <c r="A783" s="207" t="s">
        <v>84</v>
      </c>
      <c r="B783" s="411">
        <v>335</v>
      </c>
      <c r="C783" s="59" t="s">
        <v>69</v>
      </c>
      <c r="D783" s="77"/>
      <c r="E783" s="131"/>
      <c r="F783" s="132"/>
      <c r="G783" s="66"/>
      <c r="H783" s="66"/>
      <c r="I783" s="132"/>
      <c r="J783" s="133"/>
      <c r="K783" s="417"/>
      <c r="L783" s="141">
        <f t="shared" si="402"/>
        <v>2141100</v>
      </c>
      <c r="M783" s="142">
        <f t="shared" si="402"/>
        <v>331938</v>
      </c>
      <c r="N783" s="345">
        <f t="shared" si="402"/>
        <v>3334689.64</v>
      </c>
      <c r="O783" s="345">
        <f t="shared" si="402"/>
        <v>0</v>
      </c>
      <c r="P783" s="345">
        <f t="shared" si="402"/>
        <v>3334689.64</v>
      </c>
      <c r="Q783" s="475">
        <f t="shared" si="403"/>
        <v>3334689.64</v>
      </c>
      <c r="R783" s="345">
        <f t="shared" si="403"/>
        <v>0</v>
      </c>
      <c r="S783" s="345">
        <f t="shared" si="403"/>
        <v>0</v>
      </c>
      <c r="T783" s="345">
        <f t="shared" si="403"/>
        <v>3334689.64</v>
      </c>
      <c r="U783" s="482">
        <f t="shared" si="403"/>
        <v>3334689.64</v>
      </c>
      <c r="V783" s="345">
        <f t="shared" si="403"/>
        <v>3334689.64</v>
      </c>
      <c r="W783" s="475">
        <f t="shared" si="403"/>
        <v>0</v>
      </c>
      <c r="X783" s="475">
        <f t="shared" si="403"/>
        <v>0</v>
      </c>
      <c r="Y783" s="345">
        <f t="shared" si="403"/>
        <v>3334689.64</v>
      </c>
      <c r="Z783" s="482">
        <f t="shared" si="403"/>
        <v>3334689.64</v>
      </c>
      <c r="AA783" s="345">
        <f t="shared" si="403"/>
        <v>0</v>
      </c>
      <c r="AB783" s="345">
        <f t="shared" si="403"/>
        <v>3334689.64</v>
      </c>
    </row>
    <row r="784" spans="1:28" s="100" customFormat="1" ht="30.75" customHeight="1" x14ac:dyDescent="0.2">
      <c r="A784" s="207" t="s">
        <v>104</v>
      </c>
      <c r="B784" s="77" t="s">
        <v>34</v>
      </c>
      <c r="C784" s="78" t="s">
        <v>69</v>
      </c>
      <c r="D784" s="77" t="s">
        <v>70</v>
      </c>
      <c r="E784" s="131"/>
      <c r="F784" s="132"/>
      <c r="G784" s="66"/>
      <c r="H784" s="66"/>
      <c r="I784" s="132"/>
      <c r="J784" s="133"/>
      <c r="K784" s="417"/>
      <c r="L784" s="141">
        <f t="shared" si="402"/>
        <v>2141100</v>
      </c>
      <c r="M784" s="142">
        <f t="shared" si="402"/>
        <v>331938</v>
      </c>
      <c r="N784" s="345">
        <f t="shared" si="402"/>
        <v>3334689.64</v>
      </c>
      <c r="O784" s="345">
        <f t="shared" si="402"/>
        <v>0</v>
      </c>
      <c r="P784" s="345">
        <f t="shared" si="402"/>
        <v>3334689.64</v>
      </c>
      <c r="Q784" s="475">
        <f t="shared" si="403"/>
        <v>3334689.64</v>
      </c>
      <c r="R784" s="345">
        <f t="shared" si="403"/>
        <v>0</v>
      </c>
      <c r="S784" s="345">
        <f t="shared" si="403"/>
        <v>0</v>
      </c>
      <c r="T784" s="345">
        <f t="shared" si="403"/>
        <v>3334689.64</v>
      </c>
      <c r="U784" s="482">
        <f t="shared" si="403"/>
        <v>3334689.64</v>
      </c>
      <c r="V784" s="345">
        <f t="shared" si="403"/>
        <v>3334689.64</v>
      </c>
      <c r="W784" s="475">
        <f t="shared" si="403"/>
        <v>0</v>
      </c>
      <c r="X784" s="475">
        <f t="shared" si="403"/>
        <v>0</v>
      </c>
      <c r="Y784" s="345">
        <f t="shared" si="403"/>
        <v>3334689.64</v>
      </c>
      <c r="Z784" s="482">
        <f t="shared" si="403"/>
        <v>3334689.64</v>
      </c>
      <c r="AA784" s="345">
        <f t="shared" si="403"/>
        <v>0</v>
      </c>
      <c r="AB784" s="345">
        <f t="shared" si="403"/>
        <v>3334689.64</v>
      </c>
    </row>
    <row r="785" spans="1:28" ht="34.5" customHeight="1" x14ac:dyDescent="0.2">
      <c r="A785" s="212" t="s">
        <v>30</v>
      </c>
      <c r="B785" s="77" t="s">
        <v>34</v>
      </c>
      <c r="C785" s="78" t="s">
        <v>69</v>
      </c>
      <c r="D785" s="77" t="s">
        <v>70</v>
      </c>
      <c r="E785" s="218" t="s">
        <v>4</v>
      </c>
      <c r="F785" s="148" t="s">
        <v>135</v>
      </c>
      <c r="G785" s="66" t="s">
        <v>135</v>
      </c>
      <c r="H785" s="66" t="s">
        <v>135</v>
      </c>
      <c r="I785" s="148" t="s">
        <v>136</v>
      </c>
      <c r="J785" s="67" t="s">
        <v>135</v>
      </c>
      <c r="K785" s="417"/>
      <c r="L785" s="141">
        <f>L796</f>
        <v>2141100</v>
      </c>
      <c r="M785" s="142">
        <f>M786+M790+M796</f>
        <v>331938</v>
      </c>
      <c r="N785" s="345">
        <f t="shared" ref="N785:Z785" si="404">N786+N790</f>
        <v>3334689.64</v>
      </c>
      <c r="O785" s="345">
        <f t="shared" si="404"/>
        <v>0</v>
      </c>
      <c r="P785" s="345">
        <f t="shared" si="404"/>
        <v>3334689.64</v>
      </c>
      <c r="Q785" s="475">
        <f t="shared" si="404"/>
        <v>3334689.64</v>
      </c>
      <c r="R785" s="345">
        <f t="shared" si="404"/>
        <v>0</v>
      </c>
      <c r="S785" s="345">
        <f>S786+S790</f>
        <v>0</v>
      </c>
      <c r="T785" s="345">
        <f>T786+T790</f>
        <v>3334689.64</v>
      </c>
      <c r="U785" s="482">
        <f t="shared" si="404"/>
        <v>3334689.64</v>
      </c>
      <c r="V785" s="345">
        <f t="shared" si="404"/>
        <v>3334689.64</v>
      </c>
      <c r="W785" s="475">
        <f t="shared" si="404"/>
        <v>0</v>
      </c>
      <c r="X785" s="475">
        <f>X786+X790</f>
        <v>0</v>
      </c>
      <c r="Y785" s="345">
        <f>Y786+Y790</f>
        <v>3334689.64</v>
      </c>
      <c r="Z785" s="482">
        <f t="shared" si="404"/>
        <v>3334689.64</v>
      </c>
      <c r="AA785" s="345">
        <f>AA786+AA790</f>
        <v>0</v>
      </c>
      <c r="AB785" s="345">
        <f>AB786+AB790</f>
        <v>3334689.64</v>
      </c>
    </row>
    <row r="786" spans="1:28" ht="33" customHeight="1" x14ac:dyDescent="0.2">
      <c r="A786" s="212" t="s">
        <v>324</v>
      </c>
      <c r="B786" s="77" t="s">
        <v>34</v>
      </c>
      <c r="C786" s="78" t="s">
        <v>69</v>
      </c>
      <c r="D786" s="77" t="s">
        <v>70</v>
      </c>
      <c r="E786" s="103" t="s">
        <v>4</v>
      </c>
      <c r="F786" s="66" t="s">
        <v>137</v>
      </c>
      <c r="G786" s="66" t="s">
        <v>135</v>
      </c>
      <c r="H786" s="66" t="s">
        <v>135</v>
      </c>
      <c r="I786" s="66" t="s">
        <v>136</v>
      </c>
      <c r="J786" s="67" t="s">
        <v>135</v>
      </c>
      <c r="K786" s="408"/>
      <c r="L786" s="141">
        <f t="shared" ref="L786:Z786" si="405">L788</f>
        <v>0</v>
      </c>
      <c r="M786" s="142">
        <f t="shared" si="405"/>
        <v>1540338</v>
      </c>
      <c r="N786" s="345">
        <f t="shared" si="405"/>
        <v>1885691.81</v>
      </c>
      <c r="O786" s="345">
        <f t="shared" si="405"/>
        <v>0</v>
      </c>
      <c r="P786" s="345">
        <f t="shared" si="405"/>
        <v>1885691.81</v>
      </c>
      <c r="Q786" s="475">
        <f t="shared" si="405"/>
        <v>1885691.81</v>
      </c>
      <c r="R786" s="345">
        <f t="shared" si="405"/>
        <v>0</v>
      </c>
      <c r="S786" s="345">
        <f>S788</f>
        <v>0</v>
      </c>
      <c r="T786" s="345">
        <f>T788</f>
        <v>1885691.81</v>
      </c>
      <c r="U786" s="482">
        <f t="shared" si="405"/>
        <v>1885691.81</v>
      </c>
      <c r="V786" s="345">
        <f t="shared" si="405"/>
        <v>1885691.81</v>
      </c>
      <c r="W786" s="475">
        <f t="shared" si="405"/>
        <v>0</v>
      </c>
      <c r="X786" s="475">
        <f>X788</f>
        <v>0</v>
      </c>
      <c r="Y786" s="345">
        <f>Y788</f>
        <v>1885691.81</v>
      </c>
      <c r="Z786" s="482">
        <f t="shared" si="405"/>
        <v>1885691.81</v>
      </c>
      <c r="AA786" s="345">
        <f>AA788</f>
        <v>0</v>
      </c>
      <c r="AB786" s="345">
        <f>AB788</f>
        <v>1885691.81</v>
      </c>
    </row>
    <row r="787" spans="1:28" ht="33" customHeight="1" x14ac:dyDescent="0.2">
      <c r="A787" s="213" t="s">
        <v>29</v>
      </c>
      <c r="B787" s="77" t="s">
        <v>34</v>
      </c>
      <c r="C787" s="78" t="s">
        <v>69</v>
      </c>
      <c r="D787" s="77" t="s">
        <v>70</v>
      </c>
      <c r="E787" s="103" t="s">
        <v>4</v>
      </c>
      <c r="F787" s="66" t="s">
        <v>137</v>
      </c>
      <c r="G787" s="66" t="s">
        <v>135</v>
      </c>
      <c r="H787" s="66" t="s">
        <v>135</v>
      </c>
      <c r="I787" s="66" t="s">
        <v>27</v>
      </c>
      <c r="J787" s="67" t="s">
        <v>135</v>
      </c>
      <c r="K787" s="408"/>
      <c r="L787" s="141"/>
      <c r="M787" s="142">
        <f t="shared" ref="M787:AB788" si="406">M788</f>
        <v>1540338</v>
      </c>
      <c r="N787" s="345">
        <f t="shared" si="406"/>
        <v>1885691.81</v>
      </c>
      <c r="O787" s="345">
        <f t="shared" si="406"/>
        <v>0</v>
      </c>
      <c r="P787" s="345">
        <f t="shared" si="406"/>
        <v>1885691.81</v>
      </c>
      <c r="Q787" s="475">
        <f t="shared" si="406"/>
        <v>1885691.81</v>
      </c>
      <c r="R787" s="345">
        <f t="shared" si="406"/>
        <v>0</v>
      </c>
      <c r="S787" s="345">
        <f t="shared" si="406"/>
        <v>0</v>
      </c>
      <c r="T787" s="345">
        <f t="shared" si="406"/>
        <v>1885691.81</v>
      </c>
      <c r="U787" s="482">
        <f t="shared" si="406"/>
        <v>1885691.81</v>
      </c>
      <c r="V787" s="345">
        <f t="shared" si="406"/>
        <v>1885691.81</v>
      </c>
      <c r="W787" s="475">
        <f t="shared" si="406"/>
        <v>0</v>
      </c>
      <c r="X787" s="475">
        <f t="shared" si="406"/>
        <v>0</v>
      </c>
      <c r="Y787" s="345">
        <f t="shared" si="406"/>
        <v>1885691.81</v>
      </c>
      <c r="Z787" s="482">
        <f t="shared" si="406"/>
        <v>1885691.81</v>
      </c>
      <c r="AA787" s="345">
        <f t="shared" si="406"/>
        <v>0</v>
      </c>
      <c r="AB787" s="345">
        <f t="shared" si="406"/>
        <v>1885691.81</v>
      </c>
    </row>
    <row r="788" spans="1:28" ht="51" x14ac:dyDescent="0.2">
      <c r="A788" s="212" t="s">
        <v>67</v>
      </c>
      <c r="B788" s="77" t="s">
        <v>34</v>
      </c>
      <c r="C788" s="78" t="s">
        <v>69</v>
      </c>
      <c r="D788" s="77" t="s">
        <v>70</v>
      </c>
      <c r="E788" s="103" t="s">
        <v>4</v>
      </c>
      <c r="F788" s="66" t="s">
        <v>137</v>
      </c>
      <c r="G788" s="66" t="s">
        <v>135</v>
      </c>
      <c r="H788" s="66" t="s">
        <v>135</v>
      </c>
      <c r="I788" s="66" t="s">
        <v>27</v>
      </c>
      <c r="J788" s="67" t="s">
        <v>135</v>
      </c>
      <c r="K788" s="309">
        <v>100</v>
      </c>
      <c r="L788" s="141">
        <f>L789</f>
        <v>0</v>
      </c>
      <c r="M788" s="142">
        <f t="shared" si="406"/>
        <v>1540338</v>
      </c>
      <c r="N788" s="345">
        <f t="shared" si="406"/>
        <v>1885691.81</v>
      </c>
      <c r="O788" s="345">
        <f t="shared" si="406"/>
        <v>0</v>
      </c>
      <c r="P788" s="345">
        <f t="shared" si="406"/>
        <v>1885691.81</v>
      </c>
      <c r="Q788" s="475">
        <f t="shared" si="406"/>
        <v>1885691.81</v>
      </c>
      <c r="R788" s="345">
        <f t="shared" si="406"/>
        <v>0</v>
      </c>
      <c r="S788" s="345">
        <f t="shared" si="406"/>
        <v>0</v>
      </c>
      <c r="T788" s="345">
        <f t="shared" si="406"/>
        <v>1885691.81</v>
      </c>
      <c r="U788" s="482">
        <f t="shared" si="406"/>
        <v>1885691.81</v>
      </c>
      <c r="V788" s="345">
        <f t="shared" si="406"/>
        <v>1885691.81</v>
      </c>
      <c r="W788" s="475">
        <f t="shared" si="406"/>
        <v>0</v>
      </c>
      <c r="X788" s="475">
        <f t="shared" si="406"/>
        <v>0</v>
      </c>
      <c r="Y788" s="345">
        <f t="shared" si="406"/>
        <v>1885691.81</v>
      </c>
      <c r="Z788" s="482">
        <f t="shared" si="406"/>
        <v>1885691.81</v>
      </c>
      <c r="AA788" s="345">
        <f t="shared" si="406"/>
        <v>0</v>
      </c>
      <c r="AB788" s="345">
        <f t="shared" si="406"/>
        <v>1885691.81</v>
      </c>
    </row>
    <row r="789" spans="1:28" ht="25.5" x14ac:dyDescent="0.2">
      <c r="A789" s="212" t="s">
        <v>61</v>
      </c>
      <c r="B789" s="77" t="s">
        <v>34</v>
      </c>
      <c r="C789" s="78" t="s">
        <v>69</v>
      </c>
      <c r="D789" s="77" t="s">
        <v>70</v>
      </c>
      <c r="E789" s="103" t="s">
        <v>4</v>
      </c>
      <c r="F789" s="66" t="s">
        <v>137</v>
      </c>
      <c r="G789" s="66" t="s">
        <v>135</v>
      </c>
      <c r="H789" s="66" t="s">
        <v>135</v>
      </c>
      <c r="I789" s="66" t="s">
        <v>27</v>
      </c>
      <c r="J789" s="67" t="s">
        <v>135</v>
      </c>
      <c r="K789" s="309">
        <v>120</v>
      </c>
      <c r="L789" s="141">
        <v>0</v>
      </c>
      <c r="M789" s="142">
        <f>1208400+331938</f>
        <v>1540338</v>
      </c>
      <c r="N789" s="345">
        <v>1885691.81</v>
      </c>
      <c r="O789" s="345">
        <v>0</v>
      </c>
      <c r="P789" s="345">
        <v>1885691.81</v>
      </c>
      <c r="Q789" s="475">
        <v>1885691.81</v>
      </c>
      <c r="R789" s="345">
        <v>0</v>
      </c>
      <c r="S789" s="345">
        <v>0</v>
      </c>
      <c r="T789" s="345">
        <v>1885691.81</v>
      </c>
      <c r="U789" s="482">
        <v>1885691.81</v>
      </c>
      <c r="V789" s="345">
        <v>1885691.81</v>
      </c>
      <c r="W789" s="475">
        <v>0</v>
      </c>
      <c r="X789" s="475">
        <v>0</v>
      </c>
      <c r="Y789" s="345">
        <v>1885691.81</v>
      </c>
      <c r="Z789" s="482">
        <v>1885691.81</v>
      </c>
      <c r="AA789" s="345">
        <v>0</v>
      </c>
      <c r="AB789" s="345">
        <v>1885691.81</v>
      </c>
    </row>
    <row r="790" spans="1:28" x14ac:dyDescent="0.2">
      <c r="A790" s="213" t="s">
        <v>323</v>
      </c>
      <c r="B790" s="77" t="s">
        <v>34</v>
      </c>
      <c r="C790" s="78" t="s">
        <v>69</v>
      </c>
      <c r="D790" s="77" t="s">
        <v>70</v>
      </c>
      <c r="E790" s="103" t="s">
        <v>4</v>
      </c>
      <c r="F790" s="66" t="s">
        <v>133</v>
      </c>
      <c r="G790" s="66" t="s">
        <v>135</v>
      </c>
      <c r="H790" s="66" t="s">
        <v>135</v>
      </c>
      <c r="I790" s="66" t="s">
        <v>136</v>
      </c>
      <c r="J790" s="67" t="s">
        <v>135</v>
      </c>
      <c r="K790" s="408"/>
      <c r="L790" s="141">
        <f>L792+L794</f>
        <v>0</v>
      </c>
      <c r="M790" s="142">
        <f t="shared" ref="M790:AB790" si="407">M791</f>
        <v>932700</v>
      </c>
      <c r="N790" s="345">
        <f t="shared" si="407"/>
        <v>1448997.83</v>
      </c>
      <c r="O790" s="345">
        <f t="shared" si="407"/>
        <v>0</v>
      </c>
      <c r="P790" s="345">
        <f t="shared" si="407"/>
        <v>1448997.83</v>
      </c>
      <c r="Q790" s="475">
        <f t="shared" si="407"/>
        <v>1448997.83</v>
      </c>
      <c r="R790" s="345">
        <f t="shared" si="407"/>
        <v>0</v>
      </c>
      <c r="S790" s="345">
        <f t="shared" si="407"/>
        <v>0</v>
      </c>
      <c r="T790" s="345">
        <f t="shared" si="407"/>
        <v>1448997.83</v>
      </c>
      <c r="U790" s="482">
        <f t="shared" si="407"/>
        <v>1448997.83</v>
      </c>
      <c r="V790" s="345">
        <f t="shared" si="407"/>
        <v>1448997.83</v>
      </c>
      <c r="W790" s="475">
        <f t="shared" si="407"/>
        <v>0</v>
      </c>
      <c r="X790" s="475">
        <f t="shared" si="407"/>
        <v>0</v>
      </c>
      <c r="Y790" s="345">
        <f t="shared" si="407"/>
        <v>1448997.83</v>
      </c>
      <c r="Z790" s="482">
        <f t="shared" si="407"/>
        <v>1448997.83</v>
      </c>
      <c r="AA790" s="345">
        <f t="shared" si="407"/>
        <v>0</v>
      </c>
      <c r="AB790" s="345">
        <f t="shared" si="407"/>
        <v>1448997.83</v>
      </c>
    </row>
    <row r="791" spans="1:28" ht="25.5" x14ac:dyDescent="0.2">
      <c r="A791" s="213" t="s">
        <v>29</v>
      </c>
      <c r="B791" s="77" t="s">
        <v>34</v>
      </c>
      <c r="C791" s="78" t="s">
        <v>69</v>
      </c>
      <c r="D791" s="77" t="s">
        <v>70</v>
      </c>
      <c r="E791" s="103" t="s">
        <v>4</v>
      </c>
      <c r="F791" s="66" t="s">
        <v>133</v>
      </c>
      <c r="G791" s="66" t="s">
        <v>135</v>
      </c>
      <c r="H791" s="66" t="s">
        <v>135</v>
      </c>
      <c r="I791" s="66" t="s">
        <v>27</v>
      </c>
      <c r="J791" s="67" t="s">
        <v>135</v>
      </c>
      <c r="K791" s="408"/>
      <c r="L791" s="141"/>
      <c r="M791" s="142">
        <f t="shared" ref="M791:Z791" si="408">M792+M794</f>
        <v>932700</v>
      </c>
      <c r="N791" s="345">
        <f t="shared" si="408"/>
        <v>1448997.83</v>
      </c>
      <c r="O791" s="345">
        <f t="shared" si="408"/>
        <v>0</v>
      </c>
      <c r="P791" s="345">
        <f t="shared" si="408"/>
        <v>1448997.83</v>
      </c>
      <c r="Q791" s="475">
        <f t="shared" si="408"/>
        <v>1448997.83</v>
      </c>
      <c r="R791" s="345">
        <f t="shared" si="408"/>
        <v>0</v>
      </c>
      <c r="S791" s="345">
        <f>S792+S794</f>
        <v>0</v>
      </c>
      <c r="T791" s="345">
        <f>T792+T794</f>
        <v>1448997.83</v>
      </c>
      <c r="U791" s="482">
        <f t="shared" si="408"/>
        <v>1448997.83</v>
      </c>
      <c r="V791" s="345">
        <f t="shared" si="408"/>
        <v>1448997.83</v>
      </c>
      <c r="W791" s="475">
        <f t="shared" si="408"/>
        <v>0</v>
      </c>
      <c r="X791" s="475">
        <f>X792+X794</f>
        <v>0</v>
      </c>
      <c r="Y791" s="345">
        <f>Y792+Y794</f>
        <v>1448997.83</v>
      </c>
      <c r="Z791" s="482">
        <f t="shared" si="408"/>
        <v>1448997.83</v>
      </c>
      <c r="AA791" s="345">
        <f>AA792+AA794</f>
        <v>0</v>
      </c>
      <c r="AB791" s="345">
        <f>AB792+AB794</f>
        <v>1448997.83</v>
      </c>
    </row>
    <row r="792" spans="1:28" ht="51" x14ac:dyDescent="0.2">
      <c r="A792" s="212" t="s">
        <v>67</v>
      </c>
      <c r="B792" s="77" t="s">
        <v>34</v>
      </c>
      <c r="C792" s="78" t="s">
        <v>69</v>
      </c>
      <c r="D792" s="77" t="s">
        <v>70</v>
      </c>
      <c r="E792" s="103" t="s">
        <v>4</v>
      </c>
      <c r="F792" s="66" t="s">
        <v>133</v>
      </c>
      <c r="G792" s="66" t="s">
        <v>135</v>
      </c>
      <c r="H792" s="66" t="s">
        <v>135</v>
      </c>
      <c r="I792" s="66" t="s">
        <v>27</v>
      </c>
      <c r="J792" s="67" t="s">
        <v>135</v>
      </c>
      <c r="K792" s="309">
        <v>100</v>
      </c>
      <c r="L792" s="141">
        <f t="shared" ref="L792:AB792" si="409">L793</f>
        <v>0</v>
      </c>
      <c r="M792" s="142">
        <f t="shared" si="409"/>
        <v>891600</v>
      </c>
      <c r="N792" s="345">
        <f t="shared" si="409"/>
        <v>1407897.83</v>
      </c>
      <c r="O792" s="345">
        <f t="shared" si="409"/>
        <v>0</v>
      </c>
      <c r="P792" s="345">
        <f t="shared" si="409"/>
        <v>1407897.83</v>
      </c>
      <c r="Q792" s="475">
        <f t="shared" si="409"/>
        <v>1407897.83</v>
      </c>
      <c r="R792" s="345">
        <f t="shared" si="409"/>
        <v>0</v>
      </c>
      <c r="S792" s="345">
        <f t="shared" si="409"/>
        <v>0</v>
      </c>
      <c r="T792" s="345">
        <f t="shared" si="409"/>
        <v>1407897.83</v>
      </c>
      <c r="U792" s="482">
        <f t="shared" si="409"/>
        <v>1407897.83</v>
      </c>
      <c r="V792" s="345">
        <f t="shared" si="409"/>
        <v>1407897.83</v>
      </c>
      <c r="W792" s="475">
        <f t="shared" si="409"/>
        <v>0</v>
      </c>
      <c r="X792" s="475">
        <f t="shared" si="409"/>
        <v>0</v>
      </c>
      <c r="Y792" s="345">
        <f t="shared" si="409"/>
        <v>1407897.83</v>
      </c>
      <c r="Z792" s="482">
        <f t="shared" si="409"/>
        <v>1407897.83</v>
      </c>
      <c r="AA792" s="345">
        <f t="shared" si="409"/>
        <v>0</v>
      </c>
      <c r="AB792" s="345">
        <f t="shared" si="409"/>
        <v>1407897.83</v>
      </c>
    </row>
    <row r="793" spans="1:28" ht="25.5" x14ac:dyDescent="0.2">
      <c r="A793" s="212" t="s">
        <v>61</v>
      </c>
      <c r="B793" s="77" t="s">
        <v>34</v>
      </c>
      <c r="C793" s="78" t="s">
        <v>69</v>
      </c>
      <c r="D793" s="77" t="s">
        <v>70</v>
      </c>
      <c r="E793" s="103" t="s">
        <v>4</v>
      </c>
      <c r="F793" s="66" t="s">
        <v>133</v>
      </c>
      <c r="G793" s="66" t="s">
        <v>135</v>
      </c>
      <c r="H793" s="66" t="s">
        <v>135</v>
      </c>
      <c r="I793" s="66" t="s">
        <v>27</v>
      </c>
      <c r="J793" s="67" t="s">
        <v>135</v>
      </c>
      <c r="K793" s="309">
        <v>120</v>
      </c>
      <c r="L793" s="141">
        <v>0</v>
      </c>
      <c r="M793" s="142">
        <f>891600</f>
        <v>891600</v>
      </c>
      <c r="N793" s="345">
        <v>1407897.83</v>
      </c>
      <c r="O793" s="345">
        <v>0</v>
      </c>
      <c r="P793" s="345">
        <v>1407897.83</v>
      </c>
      <c r="Q793" s="475">
        <v>1407897.83</v>
      </c>
      <c r="R793" s="345">
        <v>0</v>
      </c>
      <c r="S793" s="345">
        <v>0</v>
      </c>
      <c r="T793" s="345">
        <v>1407897.83</v>
      </c>
      <c r="U793" s="482">
        <v>1407897.83</v>
      </c>
      <c r="V793" s="345">
        <v>1407897.83</v>
      </c>
      <c r="W793" s="475">
        <v>0</v>
      </c>
      <c r="X793" s="475">
        <v>0</v>
      </c>
      <c r="Y793" s="345">
        <v>1407897.83</v>
      </c>
      <c r="Z793" s="482">
        <v>1407897.83</v>
      </c>
      <c r="AA793" s="345">
        <v>0</v>
      </c>
      <c r="AB793" s="345">
        <v>1407897.83</v>
      </c>
    </row>
    <row r="794" spans="1:28" ht="25.5" x14ac:dyDescent="0.2">
      <c r="A794" s="212" t="s">
        <v>52</v>
      </c>
      <c r="B794" s="77" t="s">
        <v>34</v>
      </c>
      <c r="C794" s="78" t="s">
        <v>69</v>
      </c>
      <c r="D794" s="77" t="s">
        <v>70</v>
      </c>
      <c r="E794" s="103" t="s">
        <v>4</v>
      </c>
      <c r="F794" s="66" t="s">
        <v>133</v>
      </c>
      <c r="G794" s="66" t="s">
        <v>135</v>
      </c>
      <c r="H794" s="66" t="s">
        <v>135</v>
      </c>
      <c r="I794" s="66" t="s">
        <v>27</v>
      </c>
      <c r="J794" s="67" t="s">
        <v>135</v>
      </c>
      <c r="K794" s="309" t="s">
        <v>53</v>
      </c>
      <c r="L794" s="141">
        <f t="shared" ref="L794:AB794" si="410">L795</f>
        <v>0</v>
      </c>
      <c r="M794" s="142">
        <f t="shared" si="410"/>
        <v>41100</v>
      </c>
      <c r="N794" s="345">
        <f t="shared" si="410"/>
        <v>41100</v>
      </c>
      <c r="O794" s="345">
        <f t="shared" si="410"/>
        <v>0</v>
      </c>
      <c r="P794" s="345">
        <f t="shared" si="410"/>
        <v>41100</v>
      </c>
      <c r="Q794" s="475">
        <f t="shared" si="410"/>
        <v>41100</v>
      </c>
      <c r="R794" s="345">
        <f t="shared" si="410"/>
        <v>0</v>
      </c>
      <c r="S794" s="345">
        <f t="shared" si="410"/>
        <v>0</v>
      </c>
      <c r="T794" s="345">
        <f t="shared" si="410"/>
        <v>41100</v>
      </c>
      <c r="U794" s="482">
        <f t="shared" si="410"/>
        <v>41100</v>
      </c>
      <c r="V794" s="345">
        <f t="shared" si="410"/>
        <v>41100</v>
      </c>
      <c r="W794" s="475">
        <f t="shared" si="410"/>
        <v>0</v>
      </c>
      <c r="X794" s="475">
        <f t="shared" si="410"/>
        <v>0</v>
      </c>
      <c r="Y794" s="345">
        <f t="shared" si="410"/>
        <v>41100</v>
      </c>
      <c r="Z794" s="482">
        <f t="shared" si="410"/>
        <v>41100</v>
      </c>
      <c r="AA794" s="345">
        <f t="shared" si="410"/>
        <v>0</v>
      </c>
      <c r="AB794" s="345">
        <f t="shared" si="410"/>
        <v>41100</v>
      </c>
    </row>
    <row r="795" spans="1:28" ht="25.5" x14ac:dyDescent="0.2">
      <c r="A795" s="280" t="s">
        <v>54</v>
      </c>
      <c r="B795" s="84" t="s">
        <v>34</v>
      </c>
      <c r="C795" s="85" t="s">
        <v>69</v>
      </c>
      <c r="D795" s="84" t="s">
        <v>70</v>
      </c>
      <c r="E795" s="129" t="s">
        <v>4</v>
      </c>
      <c r="F795" s="88" t="s">
        <v>133</v>
      </c>
      <c r="G795" s="88" t="s">
        <v>135</v>
      </c>
      <c r="H795" s="88" t="s">
        <v>135</v>
      </c>
      <c r="I795" s="88" t="s">
        <v>27</v>
      </c>
      <c r="J795" s="90" t="s">
        <v>135</v>
      </c>
      <c r="K795" s="306">
        <v>240</v>
      </c>
      <c r="L795" s="149">
        <v>0</v>
      </c>
      <c r="M795" s="150">
        <v>41100</v>
      </c>
      <c r="N795" s="346">
        <v>41100</v>
      </c>
      <c r="O795" s="346">
        <v>0</v>
      </c>
      <c r="P795" s="346">
        <v>41100</v>
      </c>
      <c r="Q795" s="477">
        <v>41100</v>
      </c>
      <c r="R795" s="346">
        <v>0</v>
      </c>
      <c r="S795" s="346">
        <v>0</v>
      </c>
      <c r="T795" s="346">
        <v>41100</v>
      </c>
      <c r="U795" s="484">
        <v>41100</v>
      </c>
      <c r="V795" s="346">
        <v>41100</v>
      </c>
      <c r="W795" s="477">
        <v>0</v>
      </c>
      <c r="X795" s="477">
        <v>0</v>
      </c>
      <c r="Y795" s="346">
        <v>41100</v>
      </c>
      <c r="Z795" s="484">
        <v>41100</v>
      </c>
      <c r="AA795" s="346">
        <v>0</v>
      </c>
      <c r="AB795" s="346">
        <v>41100</v>
      </c>
    </row>
    <row r="796" spans="1:28" s="100" customFormat="1" ht="25.5" hidden="1" customHeight="1" x14ac:dyDescent="0.2">
      <c r="A796" s="213" t="s">
        <v>29</v>
      </c>
      <c r="B796" s="77" t="s">
        <v>34</v>
      </c>
      <c r="C796" s="77" t="s">
        <v>69</v>
      </c>
      <c r="D796" s="78" t="s">
        <v>70</v>
      </c>
      <c r="E796" s="66" t="s">
        <v>4</v>
      </c>
      <c r="F796" s="66" t="s">
        <v>135</v>
      </c>
      <c r="G796" s="66" t="s">
        <v>135</v>
      </c>
      <c r="H796" s="66" t="s">
        <v>135</v>
      </c>
      <c r="I796" s="66" t="s">
        <v>27</v>
      </c>
      <c r="J796" s="67" t="s">
        <v>135</v>
      </c>
      <c r="K796" s="408"/>
      <c r="L796" s="68">
        <f t="shared" ref="L796:Z796" si="411">L797+L799</f>
        <v>2141100</v>
      </c>
      <c r="M796" s="69">
        <f t="shared" si="411"/>
        <v>-2141100</v>
      </c>
      <c r="N796" s="216">
        <f t="shared" si="411"/>
        <v>0</v>
      </c>
      <c r="O796" s="216">
        <f t="shared" si="411"/>
        <v>-2100000</v>
      </c>
      <c r="P796" s="216">
        <f t="shared" si="411"/>
        <v>-2100000</v>
      </c>
      <c r="Q796" s="215">
        <f t="shared" si="411"/>
        <v>0</v>
      </c>
      <c r="R796" s="216">
        <f t="shared" si="411"/>
        <v>0</v>
      </c>
      <c r="S796" s="216">
        <f>S797+S799</f>
        <v>0</v>
      </c>
      <c r="T796" s="216">
        <f>T797+T799</f>
        <v>0</v>
      </c>
      <c r="U796" s="217">
        <f t="shared" si="411"/>
        <v>0</v>
      </c>
      <c r="V796" s="216">
        <f t="shared" si="411"/>
        <v>0</v>
      </c>
      <c r="W796" s="215">
        <f t="shared" si="411"/>
        <v>0</v>
      </c>
      <c r="X796" s="215">
        <f>X797+X799</f>
        <v>0</v>
      </c>
      <c r="Y796" s="216">
        <f>Y797+Y799</f>
        <v>0</v>
      </c>
      <c r="Z796" s="217">
        <f t="shared" si="411"/>
        <v>0</v>
      </c>
      <c r="AA796" s="216">
        <f>AA797+AA799</f>
        <v>0</v>
      </c>
      <c r="AB796" s="216">
        <f>AB797+AB799</f>
        <v>0</v>
      </c>
    </row>
    <row r="797" spans="1:28" s="100" customFormat="1" ht="51" hidden="1" customHeight="1" x14ac:dyDescent="0.2">
      <c r="A797" s="212" t="s">
        <v>67</v>
      </c>
      <c r="B797" s="77" t="s">
        <v>34</v>
      </c>
      <c r="C797" s="77" t="s">
        <v>69</v>
      </c>
      <c r="D797" s="78" t="s">
        <v>70</v>
      </c>
      <c r="E797" s="66" t="s">
        <v>4</v>
      </c>
      <c r="F797" s="66" t="s">
        <v>135</v>
      </c>
      <c r="G797" s="66" t="s">
        <v>135</v>
      </c>
      <c r="H797" s="66" t="s">
        <v>135</v>
      </c>
      <c r="I797" s="66" t="s">
        <v>27</v>
      </c>
      <c r="J797" s="67" t="s">
        <v>135</v>
      </c>
      <c r="K797" s="309">
        <v>100</v>
      </c>
      <c r="L797" s="68">
        <f t="shared" ref="L797:AB797" si="412">L798</f>
        <v>2100000</v>
      </c>
      <c r="M797" s="69">
        <f t="shared" si="412"/>
        <v>-2100000</v>
      </c>
      <c r="N797" s="216">
        <f t="shared" si="412"/>
        <v>0</v>
      </c>
      <c r="O797" s="216">
        <f t="shared" si="412"/>
        <v>-2100000</v>
      </c>
      <c r="P797" s="216">
        <f t="shared" si="412"/>
        <v>-2100000</v>
      </c>
      <c r="Q797" s="215">
        <f t="shared" si="412"/>
        <v>0</v>
      </c>
      <c r="R797" s="216">
        <f t="shared" si="412"/>
        <v>0</v>
      </c>
      <c r="S797" s="216">
        <f t="shared" si="412"/>
        <v>0</v>
      </c>
      <c r="T797" s="216">
        <f t="shared" si="412"/>
        <v>0</v>
      </c>
      <c r="U797" s="217">
        <f t="shared" si="412"/>
        <v>0</v>
      </c>
      <c r="V797" s="216">
        <f t="shared" si="412"/>
        <v>0</v>
      </c>
      <c r="W797" s="215">
        <f t="shared" si="412"/>
        <v>0</v>
      </c>
      <c r="X797" s="215">
        <f t="shared" si="412"/>
        <v>0</v>
      </c>
      <c r="Y797" s="216">
        <f t="shared" si="412"/>
        <v>0</v>
      </c>
      <c r="Z797" s="217">
        <f t="shared" si="412"/>
        <v>0</v>
      </c>
      <c r="AA797" s="216">
        <f t="shared" si="412"/>
        <v>0</v>
      </c>
      <c r="AB797" s="216">
        <f t="shared" si="412"/>
        <v>0</v>
      </c>
    </row>
    <row r="798" spans="1:28" s="100" customFormat="1" ht="25.5" hidden="1" customHeight="1" x14ac:dyDescent="0.2">
      <c r="A798" s="212" t="s">
        <v>61</v>
      </c>
      <c r="B798" s="77" t="s">
        <v>34</v>
      </c>
      <c r="C798" s="77" t="s">
        <v>69</v>
      </c>
      <c r="D798" s="78" t="s">
        <v>70</v>
      </c>
      <c r="E798" s="66" t="s">
        <v>4</v>
      </c>
      <c r="F798" s="66" t="s">
        <v>135</v>
      </c>
      <c r="G798" s="66" t="s">
        <v>135</v>
      </c>
      <c r="H798" s="66" t="s">
        <v>135</v>
      </c>
      <c r="I798" s="66" t="s">
        <v>27</v>
      </c>
      <c r="J798" s="67" t="s">
        <v>135</v>
      </c>
      <c r="K798" s="309">
        <v>120</v>
      </c>
      <c r="L798" s="68">
        <f>2100000</f>
        <v>2100000</v>
      </c>
      <c r="M798" s="69">
        <v>-2100000</v>
      </c>
      <c r="N798" s="216">
        <f>M798+L798</f>
        <v>0</v>
      </c>
      <c r="O798" s="216">
        <f>N798+M798</f>
        <v>-2100000</v>
      </c>
      <c r="P798" s="216">
        <f>O798+N798</f>
        <v>-2100000</v>
      </c>
      <c r="Q798" s="215">
        <v>0</v>
      </c>
      <c r="R798" s="216">
        <v>0</v>
      </c>
      <c r="S798" s="216">
        <f>R798+Q798</f>
        <v>0</v>
      </c>
      <c r="T798" s="216">
        <f>S798+R798</f>
        <v>0</v>
      </c>
      <c r="U798" s="217">
        <v>0</v>
      </c>
      <c r="V798" s="216">
        <v>0</v>
      </c>
      <c r="W798" s="215">
        <v>0</v>
      </c>
      <c r="X798" s="215">
        <v>0</v>
      </c>
      <c r="Y798" s="216">
        <v>0</v>
      </c>
      <c r="Z798" s="217">
        <v>0</v>
      </c>
      <c r="AA798" s="216">
        <v>0</v>
      </c>
      <c r="AB798" s="216">
        <v>0</v>
      </c>
    </row>
    <row r="799" spans="1:28" s="100" customFormat="1" ht="25.5" hidden="1" customHeight="1" x14ac:dyDescent="0.2">
      <c r="A799" s="212" t="s">
        <v>52</v>
      </c>
      <c r="B799" s="77" t="s">
        <v>34</v>
      </c>
      <c r="C799" s="77" t="s">
        <v>69</v>
      </c>
      <c r="D799" s="78" t="s">
        <v>70</v>
      </c>
      <c r="E799" s="66" t="s">
        <v>4</v>
      </c>
      <c r="F799" s="66" t="s">
        <v>135</v>
      </c>
      <c r="G799" s="66" t="s">
        <v>135</v>
      </c>
      <c r="H799" s="66" t="s">
        <v>135</v>
      </c>
      <c r="I799" s="66" t="s">
        <v>27</v>
      </c>
      <c r="J799" s="67" t="s">
        <v>135</v>
      </c>
      <c r="K799" s="309" t="s">
        <v>53</v>
      </c>
      <c r="L799" s="68">
        <f t="shared" ref="L799:AB799" si="413">L800</f>
        <v>41100</v>
      </c>
      <c r="M799" s="69">
        <f t="shared" si="413"/>
        <v>-41100</v>
      </c>
      <c r="N799" s="216">
        <f t="shared" si="413"/>
        <v>0</v>
      </c>
      <c r="O799" s="216">
        <f t="shared" si="413"/>
        <v>0</v>
      </c>
      <c r="P799" s="216">
        <f t="shared" si="413"/>
        <v>0</v>
      </c>
      <c r="Q799" s="215">
        <f t="shared" si="413"/>
        <v>0</v>
      </c>
      <c r="R799" s="216">
        <f t="shared" si="413"/>
        <v>0</v>
      </c>
      <c r="S799" s="216">
        <f t="shared" si="413"/>
        <v>0</v>
      </c>
      <c r="T799" s="216">
        <f t="shared" si="413"/>
        <v>0</v>
      </c>
      <c r="U799" s="217">
        <f t="shared" si="413"/>
        <v>0</v>
      </c>
      <c r="V799" s="216">
        <f t="shared" si="413"/>
        <v>0</v>
      </c>
      <c r="W799" s="215">
        <f t="shared" si="413"/>
        <v>0</v>
      </c>
      <c r="X799" s="215">
        <f t="shared" si="413"/>
        <v>0</v>
      </c>
      <c r="Y799" s="216">
        <f t="shared" si="413"/>
        <v>0</v>
      </c>
      <c r="Z799" s="217">
        <f t="shared" si="413"/>
        <v>0</v>
      </c>
      <c r="AA799" s="216">
        <f t="shared" si="413"/>
        <v>0</v>
      </c>
      <c r="AB799" s="216">
        <f t="shared" si="413"/>
        <v>0</v>
      </c>
    </row>
    <row r="800" spans="1:28" s="100" customFormat="1" ht="25.5" hidden="1" customHeight="1" x14ac:dyDescent="0.2">
      <c r="A800" s="280" t="s">
        <v>54</v>
      </c>
      <c r="B800" s="84" t="s">
        <v>34</v>
      </c>
      <c r="C800" s="84" t="s">
        <v>69</v>
      </c>
      <c r="D800" s="85" t="s">
        <v>70</v>
      </c>
      <c r="E800" s="88" t="s">
        <v>4</v>
      </c>
      <c r="F800" s="88" t="s">
        <v>135</v>
      </c>
      <c r="G800" s="88" t="s">
        <v>135</v>
      </c>
      <c r="H800" s="88" t="s">
        <v>135</v>
      </c>
      <c r="I800" s="88" t="s">
        <v>27</v>
      </c>
      <c r="J800" s="90" t="s">
        <v>135</v>
      </c>
      <c r="K800" s="306">
        <v>240</v>
      </c>
      <c r="L800" s="91">
        <v>41100</v>
      </c>
      <c r="M800" s="92">
        <v>-41100</v>
      </c>
      <c r="N800" s="327">
        <v>0</v>
      </c>
      <c r="O800" s="327">
        <v>0</v>
      </c>
      <c r="P800" s="327">
        <v>0</v>
      </c>
      <c r="Q800" s="326">
        <v>0</v>
      </c>
      <c r="R800" s="327">
        <v>0</v>
      </c>
      <c r="S800" s="327">
        <v>0</v>
      </c>
      <c r="T800" s="327">
        <v>0</v>
      </c>
      <c r="U800" s="328">
        <v>0</v>
      </c>
      <c r="V800" s="327">
        <v>0</v>
      </c>
      <c r="W800" s="326">
        <v>0</v>
      </c>
      <c r="X800" s="326">
        <v>0</v>
      </c>
      <c r="Y800" s="327">
        <v>0</v>
      </c>
      <c r="Z800" s="328">
        <v>0</v>
      </c>
      <c r="AA800" s="327">
        <v>0</v>
      </c>
      <c r="AB800" s="327">
        <v>0</v>
      </c>
    </row>
    <row r="801" spans="1:28" s="100" customFormat="1" ht="25.5" customHeight="1" x14ac:dyDescent="0.2">
      <c r="A801" s="330" t="s">
        <v>388</v>
      </c>
      <c r="B801" s="289" t="s">
        <v>375</v>
      </c>
      <c r="C801" s="391"/>
      <c r="D801" s="391"/>
      <c r="E801" s="392"/>
      <c r="F801" s="393"/>
      <c r="G801" s="230"/>
      <c r="H801" s="230"/>
      <c r="I801" s="394"/>
      <c r="J801" s="228"/>
      <c r="K801" s="410"/>
      <c r="L801" s="395"/>
      <c r="M801" s="396"/>
      <c r="N801" s="373">
        <f>N802+N815+N823+N832+N846</f>
        <v>15417088.620000001</v>
      </c>
      <c r="O801" s="373">
        <f>O802+O815+O823+O832+O846</f>
        <v>357973.63</v>
      </c>
      <c r="P801" s="373">
        <f t="shared" ref="P801:AB801" si="414">P802+P815+P823+P832+P846+P840</f>
        <v>16118143.449999999</v>
      </c>
      <c r="Q801" s="373">
        <f t="shared" si="414"/>
        <v>76447411.849999994</v>
      </c>
      <c r="R801" s="373">
        <f t="shared" si="414"/>
        <v>33654781.359999999</v>
      </c>
      <c r="S801" s="373">
        <f t="shared" si="414"/>
        <v>4728372.45</v>
      </c>
      <c r="T801" s="373">
        <f t="shared" si="414"/>
        <v>20846515.899999999</v>
      </c>
      <c r="U801" s="521">
        <f t="shared" si="414"/>
        <v>54269146.119999997</v>
      </c>
      <c r="V801" s="373">
        <f t="shared" si="414"/>
        <v>106276267.08999999</v>
      </c>
      <c r="W801" s="373">
        <f t="shared" si="414"/>
        <v>1454466.83</v>
      </c>
      <c r="X801" s="478">
        <f t="shared" si="414"/>
        <v>0</v>
      </c>
      <c r="Y801" s="373">
        <f t="shared" si="414"/>
        <v>54269146.119999997</v>
      </c>
      <c r="Z801" s="521">
        <f t="shared" si="414"/>
        <v>18188936.829999998</v>
      </c>
      <c r="AA801" s="373">
        <f t="shared" si="414"/>
        <v>0</v>
      </c>
      <c r="AB801" s="373">
        <f t="shared" si="414"/>
        <v>18188936.829999998</v>
      </c>
    </row>
    <row r="802" spans="1:28" s="100" customFormat="1" ht="25.5" customHeight="1" x14ac:dyDescent="0.2">
      <c r="A802" s="212" t="s">
        <v>84</v>
      </c>
      <c r="B802" s="77" t="s">
        <v>375</v>
      </c>
      <c r="C802" s="78" t="s">
        <v>69</v>
      </c>
      <c r="D802" s="78"/>
      <c r="E802" s="392"/>
      <c r="F802" s="393"/>
      <c r="G802" s="230"/>
      <c r="H802" s="230"/>
      <c r="I802" s="394"/>
      <c r="J802" s="228"/>
      <c r="K802" s="410"/>
      <c r="L802" s="395"/>
      <c r="M802" s="396"/>
      <c r="N802" s="216">
        <f t="shared" ref="N802:AB804" si="415">N803</f>
        <v>8508755.3599999994</v>
      </c>
      <c r="O802" s="216">
        <f t="shared" si="415"/>
        <v>354741.73</v>
      </c>
      <c r="P802" s="216">
        <f>P803+P810</f>
        <v>8863497.0899999999</v>
      </c>
      <c r="Q802" s="216">
        <f t="shared" ref="Q802:AB802" si="416">Q803+Q810</f>
        <v>9628755.3599999994</v>
      </c>
      <c r="R802" s="216">
        <f t="shared" si="416"/>
        <v>354741.73</v>
      </c>
      <c r="S802" s="216">
        <f t="shared" si="416"/>
        <v>1522200</v>
      </c>
      <c r="T802" s="216">
        <f t="shared" si="416"/>
        <v>10385697.09</v>
      </c>
      <c r="U802" s="217">
        <f t="shared" si="416"/>
        <v>8863497.0899999999</v>
      </c>
      <c r="V802" s="216">
        <f t="shared" si="416"/>
        <v>8728755.3599999994</v>
      </c>
      <c r="W802" s="216">
        <f t="shared" si="416"/>
        <v>354741.73</v>
      </c>
      <c r="X802" s="215">
        <f t="shared" si="416"/>
        <v>0</v>
      </c>
      <c r="Y802" s="216">
        <f t="shared" si="416"/>
        <v>8863497.0899999999</v>
      </c>
      <c r="Z802" s="217">
        <f t="shared" si="416"/>
        <v>8863497.0899999999</v>
      </c>
      <c r="AA802" s="216">
        <f t="shared" si="416"/>
        <v>0</v>
      </c>
      <c r="AB802" s="216">
        <f t="shared" si="416"/>
        <v>8863497.0899999999</v>
      </c>
    </row>
    <row r="803" spans="1:28" s="100" customFormat="1" ht="25.5" customHeight="1" x14ac:dyDescent="0.2">
      <c r="A803" s="207" t="s">
        <v>125</v>
      </c>
      <c r="B803" s="77" t="s">
        <v>375</v>
      </c>
      <c r="C803" s="78" t="s">
        <v>69</v>
      </c>
      <c r="D803" s="78" t="s">
        <v>71</v>
      </c>
      <c r="E803" s="105"/>
      <c r="F803" s="70"/>
      <c r="G803" s="66"/>
      <c r="H803" s="66"/>
      <c r="I803" s="71"/>
      <c r="J803" s="67"/>
      <c r="K803" s="372"/>
      <c r="L803" s="68"/>
      <c r="M803" s="69"/>
      <c r="N803" s="216">
        <f t="shared" si="415"/>
        <v>8508755.3599999994</v>
      </c>
      <c r="O803" s="216">
        <f t="shared" si="415"/>
        <v>354741.73</v>
      </c>
      <c r="P803" s="216">
        <f t="shared" si="415"/>
        <v>8863497.0899999999</v>
      </c>
      <c r="Q803" s="215">
        <f t="shared" si="415"/>
        <v>8508755.3599999994</v>
      </c>
      <c r="R803" s="216">
        <f t="shared" si="415"/>
        <v>354741.73</v>
      </c>
      <c r="S803" s="216">
        <f t="shared" si="415"/>
        <v>0</v>
      </c>
      <c r="T803" s="216">
        <f t="shared" si="415"/>
        <v>8863497.0899999999</v>
      </c>
      <c r="U803" s="217">
        <f t="shared" si="415"/>
        <v>8863497.0899999999</v>
      </c>
      <c r="V803" s="216">
        <f t="shared" si="415"/>
        <v>8508755.3599999994</v>
      </c>
      <c r="W803" s="215">
        <f t="shared" si="415"/>
        <v>354741.73</v>
      </c>
      <c r="X803" s="215">
        <f t="shared" si="415"/>
        <v>0</v>
      </c>
      <c r="Y803" s="216">
        <f t="shared" si="415"/>
        <v>8863497.0899999999</v>
      </c>
      <c r="Z803" s="217">
        <f t="shared" si="415"/>
        <v>8863497.0899999999</v>
      </c>
      <c r="AA803" s="216">
        <f t="shared" si="415"/>
        <v>0</v>
      </c>
      <c r="AB803" s="216">
        <f t="shared" si="415"/>
        <v>8863497.0899999999</v>
      </c>
    </row>
    <row r="804" spans="1:28" s="100" customFormat="1" ht="41.25" customHeight="1" x14ac:dyDescent="0.2">
      <c r="A804" s="212" t="s">
        <v>31</v>
      </c>
      <c r="B804" s="77" t="s">
        <v>375</v>
      </c>
      <c r="C804" s="78" t="s">
        <v>69</v>
      </c>
      <c r="D804" s="78" t="s">
        <v>71</v>
      </c>
      <c r="E804" s="117" t="s">
        <v>5</v>
      </c>
      <c r="F804" s="72" t="s">
        <v>135</v>
      </c>
      <c r="G804" s="66" t="s">
        <v>135</v>
      </c>
      <c r="H804" s="66" t="s">
        <v>135</v>
      </c>
      <c r="I804" s="72" t="s">
        <v>136</v>
      </c>
      <c r="J804" s="67" t="s">
        <v>135</v>
      </c>
      <c r="K804" s="372"/>
      <c r="L804" s="68"/>
      <c r="M804" s="69"/>
      <c r="N804" s="216">
        <f t="shared" si="415"/>
        <v>8508755.3599999994</v>
      </c>
      <c r="O804" s="216">
        <f t="shared" si="415"/>
        <v>354741.73</v>
      </c>
      <c r="P804" s="216">
        <f t="shared" si="415"/>
        <v>8863497.0899999999</v>
      </c>
      <c r="Q804" s="215">
        <f t="shared" si="415"/>
        <v>8508755.3599999994</v>
      </c>
      <c r="R804" s="216">
        <f t="shared" si="415"/>
        <v>354741.73</v>
      </c>
      <c r="S804" s="216">
        <f t="shared" si="415"/>
        <v>0</v>
      </c>
      <c r="T804" s="216">
        <f t="shared" si="415"/>
        <v>8863497.0899999999</v>
      </c>
      <c r="U804" s="217">
        <f t="shared" si="415"/>
        <v>8863497.0899999999</v>
      </c>
      <c r="V804" s="216">
        <f t="shared" si="415"/>
        <v>8508755.3599999994</v>
      </c>
      <c r="W804" s="215">
        <f t="shared" si="415"/>
        <v>354741.73</v>
      </c>
      <c r="X804" s="215">
        <f t="shared" si="415"/>
        <v>0</v>
      </c>
      <c r="Y804" s="216">
        <f t="shared" si="415"/>
        <v>8863497.0899999999</v>
      </c>
      <c r="Z804" s="217">
        <f t="shared" si="415"/>
        <v>8863497.0899999999</v>
      </c>
      <c r="AA804" s="216">
        <f t="shared" si="415"/>
        <v>0</v>
      </c>
      <c r="AB804" s="216">
        <f t="shared" si="415"/>
        <v>8863497.0899999999</v>
      </c>
    </row>
    <row r="805" spans="1:28" s="100" customFormat="1" ht="25.5" customHeight="1" x14ac:dyDescent="0.2">
      <c r="A805" s="213" t="s">
        <v>29</v>
      </c>
      <c r="B805" s="77" t="s">
        <v>375</v>
      </c>
      <c r="C805" s="78" t="s">
        <v>69</v>
      </c>
      <c r="D805" s="78" t="s">
        <v>71</v>
      </c>
      <c r="E805" s="103" t="s">
        <v>5</v>
      </c>
      <c r="F805" s="66" t="s">
        <v>135</v>
      </c>
      <c r="G805" s="66" t="s">
        <v>135</v>
      </c>
      <c r="H805" s="66" t="s">
        <v>135</v>
      </c>
      <c r="I805" s="66" t="s">
        <v>27</v>
      </c>
      <c r="J805" s="67" t="s">
        <v>135</v>
      </c>
      <c r="K805" s="309"/>
      <c r="L805" s="68"/>
      <c r="M805" s="69"/>
      <c r="N805" s="216">
        <f t="shared" ref="N805:Z805" si="417">N806+N808</f>
        <v>8508755.3599999994</v>
      </c>
      <c r="O805" s="216">
        <f t="shared" si="417"/>
        <v>354741.73</v>
      </c>
      <c r="P805" s="216">
        <f t="shared" si="417"/>
        <v>8863497.0899999999</v>
      </c>
      <c r="Q805" s="215">
        <f t="shared" si="417"/>
        <v>8508755.3599999994</v>
      </c>
      <c r="R805" s="216">
        <f t="shared" si="417"/>
        <v>354741.73</v>
      </c>
      <c r="S805" s="216">
        <f>S806+S808</f>
        <v>0</v>
      </c>
      <c r="T805" s="216">
        <f>T806+T808</f>
        <v>8863497.0899999999</v>
      </c>
      <c r="U805" s="217">
        <f t="shared" si="417"/>
        <v>8863497.0899999999</v>
      </c>
      <c r="V805" s="216">
        <f t="shared" si="417"/>
        <v>8508755.3599999994</v>
      </c>
      <c r="W805" s="215">
        <f t="shared" si="417"/>
        <v>354741.73</v>
      </c>
      <c r="X805" s="215">
        <f>X806+X808</f>
        <v>0</v>
      </c>
      <c r="Y805" s="216">
        <f>Y806+Y808</f>
        <v>8863497.0899999999</v>
      </c>
      <c r="Z805" s="217">
        <f t="shared" si="417"/>
        <v>8863497.0899999999</v>
      </c>
      <c r="AA805" s="216">
        <f>AA806+AA808</f>
        <v>0</v>
      </c>
      <c r="AB805" s="216">
        <f>AB806+AB808</f>
        <v>8863497.0899999999</v>
      </c>
    </row>
    <row r="806" spans="1:28" s="100" customFormat="1" ht="25.5" customHeight="1" x14ac:dyDescent="0.2">
      <c r="A806" s="212" t="s">
        <v>67</v>
      </c>
      <c r="B806" s="77" t="s">
        <v>375</v>
      </c>
      <c r="C806" s="78" t="s">
        <v>69</v>
      </c>
      <c r="D806" s="78" t="s">
        <v>71</v>
      </c>
      <c r="E806" s="103" t="s">
        <v>5</v>
      </c>
      <c r="F806" s="66" t="s">
        <v>135</v>
      </c>
      <c r="G806" s="66" t="s">
        <v>135</v>
      </c>
      <c r="H806" s="66" t="s">
        <v>135</v>
      </c>
      <c r="I806" s="66" t="s">
        <v>27</v>
      </c>
      <c r="J806" s="67" t="s">
        <v>135</v>
      </c>
      <c r="K806" s="309">
        <v>100</v>
      </c>
      <c r="L806" s="68"/>
      <c r="M806" s="69"/>
      <c r="N806" s="216">
        <f t="shared" ref="N806:AB806" si="418">N807</f>
        <v>8271705.3599999994</v>
      </c>
      <c r="O806" s="216">
        <f t="shared" si="418"/>
        <v>354741.73</v>
      </c>
      <c r="P806" s="216">
        <f t="shared" si="418"/>
        <v>8626447.0899999999</v>
      </c>
      <c r="Q806" s="215">
        <f t="shared" si="418"/>
        <v>8271705.3599999994</v>
      </c>
      <c r="R806" s="216">
        <f t="shared" si="418"/>
        <v>354741.73</v>
      </c>
      <c r="S806" s="216">
        <f t="shared" si="418"/>
        <v>0</v>
      </c>
      <c r="T806" s="216">
        <f t="shared" si="418"/>
        <v>8626447.0899999999</v>
      </c>
      <c r="U806" s="217">
        <f t="shared" si="418"/>
        <v>8626447.0899999999</v>
      </c>
      <c r="V806" s="216">
        <f t="shared" si="418"/>
        <v>8271705.3599999994</v>
      </c>
      <c r="W806" s="215">
        <f t="shared" si="418"/>
        <v>354741.73</v>
      </c>
      <c r="X806" s="215">
        <f t="shared" si="418"/>
        <v>0</v>
      </c>
      <c r="Y806" s="216">
        <f t="shared" si="418"/>
        <v>8626447.0899999999</v>
      </c>
      <c r="Z806" s="217">
        <f t="shared" si="418"/>
        <v>8626447.0899999999</v>
      </c>
      <c r="AA806" s="216">
        <f t="shared" si="418"/>
        <v>0</v>
      </c>
      <c r="AB806" s="216">
        <f t="shared" si="418"/>
        <v>8626447.0899999999</v>
      </c>
    </row>
    <row r="807" spans="1:28" s="100" customFormat="1" ht="33" customHeight="1" x14ac:dyDescent="0.2">
      <c r="A807" s="212" t="s">
        <v>61</v>
      </c>
      <c r="B807" s="77" t="s">
        <v>375</v>
      </c>
      <c r="C807" s="78" t="s">
        <v>69</v>
      </c>
      <c r="D807" s="78" t="s">
        <v>71</v>
      </c>
      <c r="E807" s="103" t="s">
        <v>5</v>
      </c>
      <c r="F807" s="66" t="s">
        <v>135</v>
      </c>
      <c r="G807" s="66" t="s">
        <v>135</v>
      </c>
      <c r="H807" s="66" t="s">
        <v>135</v>
      </c>
      <c r="I807" s="66" t="s">
        <v>27</v>
      </c>
      <c r="J807" s="67" t="s">
        <v>135</v>
      </c>
      <c r="K807" s="309">
        <v>120</v>
      </c>
      <c r="L807" s="68"/>
      <c r="M807" s="69"/>
      <c r="N807" s="216">
        <f>8508755.36-237050</f>
        <v>8271705.3599999994</v>
      </c>
      <c r="O807" s="216">
        <v>354741.73</v>
      </c>
      <c r="P807" s="216">
        <f>O807+N807</f>
        <v>8626447.0899999999</v>
      </c>
      <c r="Q807" s="215">
        <f>8508755.36-237050</f>
        <v>8271705.3599999994</v>
      </c>
      <c r="R807" s="216">
        <v>354741.73</v>
      </c>
      <c r="S807" s="216">
        <v>0</v>
      </c>
      <c r="T807" s="216">
        <v>8626447.0899999999</v>
      </c>
      <c r="U807" s="217">
        <f>R807+Q807</f>
        <v>8626447.0899999999</v>
      </c>
      <c r="V807" s="216">
        <f>8508755.36-237050</f>
        <v>8271705.3599999994</v>
      </c>
      <c r="W807" s="215">
        <v>354741.73</v>
      </c>
      <c r="X807" s="215">
        <v>0</v>
      </c>
      <c r="Y807" s="216">
        <v>8626447.0899999999</v>
      </c>
      <c r="Z807" s="217">
        <f>W807+V807</f>
        <v>8626447.0899999999</v>
      </c>
      <c r="AA807" s="216">
        <v>0</v>
      </c>
      <c r="AB807" s="216">
        <f>Y807+X807</f>
        <v>8626447.0899999999</v>
      </c>
    </row>
    <row r="808" spans="1:28" s="100" customFormat="1" ht="29.25" customHeight="1" x14ac:dyDescent="0.2">
      <c r="A808" s="212" t="s">
        <v>52</v>
      </c>
      <c r="B808" s="77" t="s">
        <v>375</v>
      </c>
      <c r="C808" s="78" t="s">
        <v>69</v>
      </c>
      <c r="D808" s="78" t="s">
        <v>71</v>
      </c>
      <c r="E808" s="103" t="s">
        <v>5</v>
      </c>
      <c r="F808" s="66" t="s">
        <v>135</v>
      </c>
      <c r="G808" s="66" t="s">
        <v>135</v>
      </c>
      <c r="H808" s="66" t="s">
        <v>135</v>
      </c>
      <c r="I808" s="66" t="s">
        <v>27</v>
      </c>
      <c r="J808" s="67" t="s">
        <v>135</v>
      </c>
      <c r="K808" s="309">
        <v>200</v>
      </c>
      <c r="L808" s="68"/>
      <c r="M808" s="69"/>
      <c r="N808" s="216">
        <f t="shared" ref="N808:AB808" si="419">N809</f>
        <v>237050</v>
      </c>
      <c r="O808" s="216">
        <f t="shared" si="419"/>
        <v>0</v>
      </c>
      <c r="P808" s="216">
        <f t="shared" si="419"/>
        <v>237050</v>
      </c>
      <c r="Q808" s="215">
        <f t="shared" si="419"/>
        <v>237050</v>
      </c>
      <c r="R808" s="216">
        <f t="shared" si="419"/>
        <v>0</v>
      </c>
      <c r="S808" s="216">
        <f t="shared" si="419"/>
        <v>0</v>
      </c>
      <c r="T808" s="216">
        <f t="shared" si="419"/>
        <v>237050</v>
      </c>
      <c r="U808" s="217">
        <f t="shared" si="419"/>
        <v>237050</v>
      </c>
      <c r="V808" s="216">
        <f t="shared" si="419"/>
        <v>237050</v>
      </c>
      <c r="W808" s="215">
        <f t="shared" si="419"/>
        <v>0</v>
      </c>
      <c r="X808" s="215">
        <f t="shared" si="419"/>
        <v>0</v>
      </c>
      <c r="Y808" s="216">
        <f t="shared" si="419"/>
        <v>237050</v>
      </c>
      <c r="Z808" s="217">
        <f t="shared" si="419"/>
        <v>237050</v>
      </c>
      <c r="AA808" s="216">
        <f t="shared" si="419"/>
        <v>0</v>
      </c>
      <c r="AB808" s="216">
        <f t="shared" si="419"/>
        <v>237050</v>
      </c>
    </row>
    <row r="809" spans="1:28" s="100" customFormat="1" ht="45" customHeight="1" x14ac:dyDescent="0.2">
      <c r="A809" s="212" t="s">
        <v>54</v>
      </c>
      <c r="B809" s="77" t="s">
        <v>375</v>
      </c>
      <c r="C809" s="78" t="s">
        <v>69</v>
      </c>
      <c r="D809" s="78" t="s">
        <v>71</v>
      </c>
      <c r="E809" s="103" t="s">
        <v>5</v>
      </c>
      <c r="F809" s="66" t="s">
        <v>135</v>
      </c>
      <c r="G809" s="66" t="s">
        <v>135</v>
      </c>
      <c r="H809" s="66" t="s">
        <v>135</v>
      </c>
      <c r="I809" s="66" t="s">
        <v>27</v>
      </c>
      <c r="J809" s="67" t="s">
        <v>135</v>
      </c>
      <c r="K809" s="309">
        <v>240</v>
      </c>
      <c r="L809" s="68"/>
      <c r="M809" s="68"/>
      <c r="N809" s="216">
        <v>237050</v>
      </c>
      <c r="O809" s="216">
        <v>0</v>
      </c>
      <c r="P809" s="216">
        <v>237050</v>
      </c>
      <c r="Q809" s="215">
        <v>237050</v>
      </c>
      <c r="R809" s="216">
        <v>0</v>
      </c>
      <c r="S809" s="216">
        <v>0</v>
      </c>
      <c r="T809" s="216">
        <v>237050</v>
      </c>
      <c r="U809" s="217">
        <v>237050</v>
      </c>
      <c r="V809" s="216">
        <v>237050</v>
      </c>
      <c r="W809" s="215">
        <v>0</v>
      </c>
      <c r="X809" s="215">
        <v>0</v>
      </c>
      <c r="Y809" s="216">
        <v>237050</v>
      </c>
      <c r="Z809" s="217">
        <v>237050</v>
      </c>
      <c r="AA809" s="216">
        <v>0</v>
      </c>
      <c r="AB809" s="216">
        <v>237050</v>
      </c>
    </row>
    <row r="810" spans="1:28" s="100" customFormat="1" ht="25.5" customHeight="1" x14ac:dyDescent="0.2">
      <c r="A810" s="212" t="s">
        <v>98</v>
      </c>
      <c r="B810" s="77" t="s">
        <v>375</v>
      </c>
      <c r="C810" s="77" t="s">
        <v>69</v>
      </c>
      <c r="D810" s="78" t="s">
        <v>120</v>
      </c>
      <c r="E810" s="66"/>
      <c r="F810" s="66"/>
      <c r="G810" s="66"/>
      <c r="H810" s="66"/>
      <c r="I810" s="66"/>
      <c r="J810" s="67"/>
      <c r="K810" s="309"/>
      <c r="L810" s="68"/>
      <c r="M810" s="68"/>
      <c r="N810" s="216"/>
      <c r="O810" s="216"/>
      <c r="P810" s="216">
        <f>P811</f>
        <v>0</v>
      </c>
      <c r="Q810" s="216">
        <f t="shared" ref="Q810:AB810" si="420">Q811</f>
        <v>1120000</v>
      </c>
      <c r="R810" s="216">
        <f t="shared" si="420"/>
        <v>0</v>
      </c>
      <c r="S810" s="216">
        <f t="shared" si="420"/>
        <v>1522200</v>
      </c>
      <c r="T810" s="216">
        <f t="shared" si="420"/>
        <v>1522200</v>
      </c>
      <c r="U810" s="217">
        <f t="shared" si="420"/>
        <v>0</v>
      </c>
      <c r="V810" s="216">
        <f t="shared" si="420"/>
        <v>220000</v>
      </c>
      <c r="W810" s="216">
        <f t="shared" si="420"/>
        <v>0</v>
      </c>
      <c r="X810" s="215">
        <f t="shared" si="420"/>
        <v>0</v>
      </c>
      <c r="Y810" s="216">
        <f t="shared" si="420"/>
        <v>0</v>
      </c>
      <c r="Z810" s="217">
        <f t="shared" si="420"/>
        <v>0</v>
      </c>
      <c r="AA810" s="216">
        <f t="shared" si="420"/>
        <v>0</v>
      </c>
      <c r="AB810" s="216">
        <f t="shared" si="420"/>
        <v>0</v>
      </c>
    </row>
    <row r="811" spans="1:28" s="100" customFormat="1" ht="45.75" customHeight="1" x14ac:dyDescent="0.2">
      <c r="A811" s="212" t="s">
        <v>356</v>
      </c>
      <c r="B811" s="77" t="s">
        <v>375</v>
      </c>
      <c r="C811" s="77" t="s">
        <v>69</v>
      </c>
      <c r="D811" s="78" t="s">
        <v>120</v>
      </c>
      <c r="E811" s="103" t="s">
        <v>72</v>
      </c>
      <c r="F811" s="66" t="s">
        <v>135</v>
      </c>
      <c r="G811" s="66" t="s">
        <v>135</v>
      </c>
      <c r="H811" s="66" t="s">
        <v>135</v>
      </c>
      <c r="I811" s="72" t="s">
        <v>136</v>
      </c>
      <c r="J811" s="67" t="s">
        <v>135</v>
      </c>
      <c r="K811" s="372"/>
      <c r="L811" s="64"/>
      <c r="M811" s="65"/>
      <c r="N811" s="224"/>
      <c r="O811" s="224"/>
      <c r="P811" s="224">
        <f>P812</f>
        <v>0</v>
      </c>
      <c r="Q811" s="224">
        <f t="shared" ref="Q811:AB811" si="421">Q812</f>
        <v>1120000</v>
      </c>
      <c r="R811" s="224">
        <f t="shared" si="421"/>
        <v>0</v>
      </c>
      <c r="S811" s="224">
        <f t="shared" si="421"/>
        <v>1522200</v>
      </c>
      <c r="T811" s="224">
        <f t="shared" si="421"/>
        <v>1522200</v>
      </c>
      <c r="U811" s="225">
        <f t="shared" si="421"/>
        <v>0</v>
      </c>
      <c r="V811" s="224">
        <f t="shared" si="421"/>
        <v>220000</v>
      </c>
      <c r="W811" s="224">
        <f t="shared" si="421"/>
        <v>0</v>
      </c>
      <c r="X811" s="223">
        <f t="shared" si="421"/>
        <v>0</v>
      </c>
      <c r="Y811" s="224">
        <f t="shared" si="421"/>
        <v>0</v>
      </c>
      <c r="Z811" s="225">
        <f t="shared" si="421"/>
        <v>0</v>
      </c>
      <c r="AA811" s="224">
        <f t="shared" si="421"/>
        <v>0</v>
      </c>
      <c r="AB811" s="224">
        <f t="shared" si="421"/>
        <v>0</v>
      </c>
    </row>
    <row r="812" spans="1:28" s="100" customFormat="1" ht="61.5" customHeight="1" x14ac:dyDescent="0.2">
      <c r="A812" s="212" t="s">
        <v>358</v>
      </c>
      <c r="B812" s="77" t="s">
        <v>375</v>
      </c>
      <c r="C812" s="77" t="s">
        <v>69</v>
      </c>
      <c r="D812" s="78" t="s">
        <v>120</v>
      </c>
      <c r="E812" s="103" t="s">
        <v>72</v>
      </c>
      <c r="F812" s="66" t="s">
        <v>135</v>
      </c>
      <c r="G812" s="66" t="s">
        <v>135</v>
      </c>
      <c r="H812" s="66" t="s">
        <v>135</v>
      </c>
      <c r="I812" s="72" t="s">
        <v>357</v>
      </c>
      <c r="J812" s="67" t="s">
        <v>135</v>
      </c>
      <c r="K812" s="372"/>
      <c r="L812" s="64" t="e">
        <f>L813+#REF!</f>
        <v>#REF!</v>
      </c>
      <c r="M812" s="65" t="e">
        <f>M813+#REF!</f>
        <v>#REF!</v>
      </c>
      <c r="N812" s="224">
        <f t="shared" ref="N812:AB812" si="422">N813</f>
        <v>0</v>
      </c>
      <c r="O812" s="224">
        <f t="shared" si="422"/>
        <v>0</v>
      </c>
      <c r="P812" s="224">
        <f t="shared" si="422"/>
        <v>0</v>
      </c>
      <c r="Q812" s="223">
        <f t="shared" si="422"/>
        <v>1120000</v>
      </c>
      <c r="R812" s="224">
        <f t="shared" si="422"/>
        <v>0</v>
      </c>
      <c r="S812" s="224">
        <f t="shared" si="422"/>
        <v>1522200</v>
      </c>
      <c r="T812" s="224">
        <f t="shared" si="422"/>
        <v>1522200</v>
      </c>
      <c r="U812" s="225">
        <f t="shared" si="422"/>
        <v>0</v>
      </c>
      <c r="V812" s="224">
        <f t="shared" si="422"/>
        <v>220000</v>
      </c>
      <c r="W812" s="223">
        <f t="shared" si="422"/>
        <v>0</v>
      </c>
      <c r="X812" s="223">
        <f t="shared" si="422"/>
        <v>0</v>
      </c>
      <c r="Y812" s="224">
        <f t="shared" si="422"/>
        <v>0</v>
      </c>
      <c r="Z812" s="225">
        <f t="shared" si="422"/>
        <v>0</v>
      </c>
      <c r="AA812" s="224">
        <f t="shared" si="422"/>
        <v>0</v>
      </c>
      <c r="AB812" s="224">
        <f t="shared" si="422"/>
        <v>0</v>
      </c>
    </row>
    <row r="813" spans="1:28" s="100" customFormat="1" ht="35.25" customHeight="1" x14ac:dyDescent="0.2">
      <c r="A813" s="212" t="s">
        <v>52</v>
      </c>
      <c r="B813" s="77" t="s">
        <v>375</v>
      </c>
      <c r="C813" s="77" t="s">
        <v>69</v>
      </c>
      <c r="D813" s="78" t="s">
        <v>120</v>
      </c>
      <c r="E813" s="103" t="s">
        <v>72</v>
      </c>
      <c r="F813" s="66" t="s">
        <v>135</v>
      </c>
      <c r="G813" s="66" t="s">
        <v>135</v>
      </c>
      <c r="H813" s="66" t="s">
        <v>135</v>
      </c>
      <c r="I813" s="72" t="s">
        <v>357</v>
      </c>
      <c r="J813" s="67" t="s">
        <v>135</v>
      </c>
      <c r="K813" s="372" t="s">
        <v>53</v>
      </c>
      <c r="L813" s="64">
        <f t="shared" ref="L813:AB813" si="423">L814</f>
        <v>60000</v>
      </c>
      <c r="M813" s="65">
        <f t="shared" si="423"/>
        <v>0</v>
      </c>
      <c r="N813" s="224">
        <f t="shared" si="423"/>
        <v>0</v>
      </c>
      <c r="O813" s="224">
        <f t="shared" si="423"/>
        <v>0</v>
      </c>
      <c r="P813" s="224">
        <f t="shared" si="423"/>
        <v>0</v>
      </c>
      <c r="Q813" s="223">
        <f t="shared" si="423"/>
        <v>1120000</v>
      </c>
      <c r="R813" s="224">
        <f t="shared" si="423"/>
        <v>0</v>
      </c>
      <c r="S813" s="224">
        <f t="shared" si="423"/>
        <v>1522200</v>
      </c>
      <c r="T813" s="224">
        <f t="shared" si="423"/>
        <v>1522200</v>
      </c>
      <c r="U813" s="225">
        <f t="shared" si="423"/>
        <v>0</v>
      </c>
      <c r="V813" s="224">
        <f t="shared" si="423"/>
        <v>220000</v>
      </c>
      <c r="W813" s="223">
        <f t="shared" si="423"/>
        <v>0</v>
      </c>
      <c r="X813" s="223">
        <f t="shared" si="423"/>
        <v>0</v>
      </c>
      <c r="Y813" s="224">
        <f t="shared" si="423"/>
        <v>0</v>
      </c>
      <c r="Z813" s="225">
        <f t="shared" si="423"/>
        <v>0</v>
      </c>
      <c r="AA813" s="224">
        <f t="shared" si="423"/>
        <v>0</v>
      </c>
      <c r="AB813" s="224">
        <f t="shared" si="423"/>
        <v>0</v>
      </c>
    </row>
    <row r="814" spans="1:28" s="100" customFormat="1" ht="25.5" customHeight="1" x14ac:dyDescent="0.2">
      <c r="A814" s="212" t="s">
        <v>54</v>
      </c>
      <c r="B814" s="77" t="s">
        <v>375</v>
      </c>
      <c r="C814" s="77" t="s">
        <v>69</v>
      </c>
      <c r="D814" s="78" t="s">
        <v>120</v>
      </c>
      <c r="E814" s="103" t="s">
        <v>72</v>
      </c>
      <c r="F814" s="66" t="s">
        <v>135</v>
      </c>
      <c r="G814" s="66" t="s">
        <v>135</v>
      </c>
      <c r="H814" s="66" t="s">
        <v>135</v>
      </c>
      <c r="I814" s="72" t="s">
        <v>357</v>
      </c>
      <c r="J814" s="67" t="s">
        <v>135</v>
      </c>
      <c r="K814" s="372" t="s">
        <v>55</v>
      </c>
      <c r="L814" s="64">
        <v>60000</v>
      </c>
      <c r="M814" s="65">
        <v>0</v>
      </c>
      <c r="N814" s="224">
        <v>0</v>
      </c>
      <c r="O814" s="224">
        <v>0</v>
      </c>
      <c r="P814" s="224">
        <v>0</v>
      </c>
      <c r="Q814" s="223">
        <v>1120000</v>
      </c>
      <c r="R814" s="224">
        <v>0</v>
      </c>
      <c r="S814" s="224">
        <v>1522200</v>
      </c>
      <c r="T814" s="224">
        <f>S814</f>
        <v>1522200</v>
      </c>
      <c r="U814" s="225">
        <v>0</v>
      </c>
      <c r="V814" s="224">
        <v>220000</v>
      </c>
      <c r="W814" s="223">
        <v>0</v>
      </c>
      <c r="X814" s="223">
        <v>0</v>
      </c>
      <c r="Y814" s="224">
        <v>0</v>
      </c>
      <c r="Z814" s="225">
        <v>0</v>
      </c>
      <c r="AA814" s="224">
        <v>0</v>
      </c>
      <c r="AB814" s="224">
        <v>0</v>
      </c>
    </row>
    <row r="815" spans="1:28" s="100" customFormat="1" ht="25.5" customHeight="1" x14ac:dyDescent="0.2">
      <c r="A815" s="207" t="s">
        <v>284</v>
      </c>
      <c r="B815" s="77" t="s">
        <v>375</v>
      </c>
      <c r="C815" s="58" t="s">
        <v>76</v>
      </c>
      <c r="D815" s="59"/>
      <c r="E815" s="60"/>
      <c r="F815" s="60"/>
      <c r="G815" s="66"/>
      <c r="H815" s="66"/>
      <c r="I815" s="60"/>
      <c r="J815" s="76"/>
      <c r="K815" s="408"/>
      <c r="L815" s="101">
        <f t="shared" ref="L815:AB816" si="424">L816</f>
        <v>2830921.54</v>
      </c>
      <c r="M815" s="102">
        <f t="shared" si="424"/>
        <v>0</v>
      </c>
      <c r="N815" s="248">
        <f t="shared" si="424"/>
        <v>387237.55</v>
      </c>
      <c r="O815" s="248">
        <f t="shared" si="424"/>
        <v>3231.9</v>
      </c>
      <c r="P815" s="248">
        <f t="shared" si="424"/>
        <v>390469.44999999995</v>
      </c>
      <c r="Q815" s="473">
        <f t="shared" si="424"/>
        <v>403273.68999999994</v>
      </c>
      <c r="R815" s="248">
        <f t="shared" si="424"/>
        <v>98269.63</v>
      </c>
      <c r="S815" s="248">
        <f t="shared" si="424"/>
        <v>0</v>
      </c>
      <c r="T815" s="248">
        <f t="shared" si="424"/>
        <v>390469.44999999995</v>
      </c>
      <c r="U815" s="249">
        <f t="shared" si="424"/>
        <v>501543.31999999995</v>
      </c>
      <c r="V815" s="248">
        <f t="shared" si="424"/>
        <v>421618.93</v>
      </c>
      <c r="W815" s="473">
        <f t="shared" si="424"/>
        <v>119725.1</v>
      </c>
      <c r="X815" s="473">
        <f t="shared" si="424"/>
        <v>0</v>
      </c>
      <c r="Y815" s="248">
        <f t="shared" si="424"/>
        <v>501543.32</v>
      </c>
      <c r="Z815" s="249">
        <f t="shared" si="424"/>
        <v>541344.03</v>
      </c>
      <c r="AA815" s="248">
        <f t="shared" si="424"/>
        <v>0</v>
      </c>
      <c r="AB815" s="248">
        <f t="shared" si="424"/>
        <v>541344.03</v>
      </c>
    </row>
    <row r="816" spans="1:28" s="100" customFormat="1" ht="25.5" customHeight="1" x14ac:dyDescent="0.2">
      <c r="A816" s="258" t="s">
        <v>285</v>
      </c>
      <c r="B816" s="77" t="s">
        <v>375</v>
      </c>
      <c r="C816" s="58" t="s">
        <v>76</v>
      </c>
      <c r="D816" s="59" t="s">
        <v>72</v>
      </c>
      <c r="E816" s="60"/>
      <c r="F816" s="60"/>
      <c r="G816" s="66"/>
      <c r="H816" s="66"/>
      <c r="I816" s="60"/>
      <c r="J816" s="76"/>
      <c r="K816" s="408"/>
      <c r="L816" s="101">
        <f t="shared" si="424"/>
        <v>2830921.54</v>
      </c>
      <c r="M816" s="102">
        <f t="shared" si="424"/>
        <v>0</v>
      </c>
      <c r="N816" s="248">
        <f t="shared" si="424"/>
        <v>387237.55</v>
      </c>
      <c r="O816" s="248">
        <f t="shared" si="424"/>
        <v>3231.9</v>
      </c>
      <c r="P816" s="248">
        <f t="shared" si="424"/>
        <v>390469.44999999995</v>
      </c>
      <c r="Q816" s="473">
        <f t="shared" si="424"/>
        <v>403273.68999999994</v>
      </c>
      <c r="R816" s="248">
        <f t="shared" si="424"/>
        <v>98269.63</v>
      </c>
      <c r="S816" s="248">
        <f t="shared" si="424"/>
        <v>0</v>
      </c>
      <c r="T816" s="248">
        <f t="shared" si="424"/>
        <v>390469.44999999995</v>
      </c>
      <c r="U816" s="249">
        <f t="shared" si="424"/>
        <v>501543.31999999995</v>
      </c>
      <c r="V816" s="248">
        <f t="shared" si="424"/>
        <v>421618.93</v>
      </c>
      <c r="W816" s="473">
        <f t="shared" si="424"/>
        <v>119725.1</v>
      </c>
      <c r="X816" s="473">
        <f t="shared" si="424"/>
        <v>0</v>
      </c>
      <c r="Y816" s="248">
        <f t="shared" si="424"/>
        <v>501543.32</v>
      </c>
      <c r="Z816" s="249">
        <f t="shared" si="424"/>
        <v>541344.03</v>
      </c>
      <c r="AA816" s="248">
        <f t="shared" si="424"/>
        <v>0</v>
      </c>
      <c r="AB816" s="248">
        <f t="shared" si="424"/>
        <v>541344.03</v>
      </c>
    </row>
    <row r="817" spans="1:28" s="100" customFormat="1" ht="25.5" customHeight="1" x14ac:dyDescent="0.2">
      <c r="A817" s="212" t="s">
        <v>313</v>
      </c>
      <c r="B817" s="77" t="s">
        <v>375</v>
      </c>
      <c r="C817" s="58" t="s">
        <v>76</v>
      </c>
      <c r="D817" s="59" t="s">
        <v>72</v>
      </c>
      <c r="E817" s="66" t="s">
        <v>314</v>
      </c>
      <c r="F817" s="66" t="s">
        <v>135</v>
      </c>
      <c r="G817" s="66" t="s">
        <v>135</v>
      </c>
      <c r="H817" s="66" t="s">
        <v>135</v>
      </c>
      <c r="I817" s="66" t="s">
        <v>136</v>
      </c>
      <c r="J817" s="67" t="s">
        <v>135</v>
      </c>
      <c r="K817" s="309"/>
      <c r="L817" s="68">
        <f t="shared" ref="L817:AB817" si="425">L818</f>
        <v>2830921.54</v>
      </c>
      <c r="M817" s="69">
        <f t="shared" si="425"/>
        <v>0</v>
      </c>
      <c r="N817" s="216">
        <f t="shared" si="425"/>
        <v>387237.55</v>
      </c>
      <c r="O817" s="216">
        <f t="shared" si="425"/>
        <v>3231.9</v>
      </c>
      <c r="P817" s="216">
        <f t="shared" si="425"/>
        <v>390469.44999999995</v>
      </c>
      <c r="Q817" s="215">
        <f t="shared" si="425"/>
        <v>403273.68999999994</v>
      </c>
      <c r="R817" s="216">
        <f t="shared" si="425"/>
        <v>98269.63</v>
      </c>
      <c r="S817" s="216">
        <f t="shared" si="425"/>
        <v>0</v>
      </c>
      <c r="T817" s="216">
        <f t="shared" si="425"/>
        <v>390469.44999999995</v>
      </c>
      <c r="U817" s="217">
        <f t="shared" si="425"/>
        <v>501543.31999999995</v>
      </c>
      <c r="V817" s="216">
        <f t="shared" si="425"/>
        <v>421618.93</v>
      </c>
      <c r="W817" s="215">
        <f t="shared" si="425"/>
        <v>119725.1</v>
      </c>
      <c r="X817" s="215">
        <f t="shared" si="425"/>
        <v>0</v>
      </c>
      <c r="Y817" s="216">
        <f t="shared" si="425"/>
        <v>501543.32</v>
      </c>
      <c r="Z817" s="217">
        <f t="shared" si="425"/>
        <v>541344.03</v>
      </c>
      <c r="AA817" s="216">
        <f t="shared" si="425"/>
        <v>0</v>
      </c>
      <c r="AB817" s="216">
        <f t="shared" si="425"/>
        <v>541344.03</v>
      </c>
    </row>
    <row r="818" spans="1:28" s="100" customFormat="1" ht="67.5" customHeight="1" x14ac:dyDescent="0.2">
      <c r="A818" s="212" t="s">
        <v>287</v>
      </c>
      <c r="B818" s="77" t="s">
        <v>375</v>
      </c>
      <c r="C818" s="58" t="s">
        <v>76</v>
      </c>
      <c r="D818" s="59" t="s">
        <v>72</v>
      </c>
      <c r="E818" s="66" t="s">
        <v>314</v>
      </c>
      <c r="F818" s="66" t="s">
        <v>135</v>
      </c>
      <c r="G818" s="66" t="s">
        <v>135</v>
      </c>
      <c r="H818" s="66" t="s">
        <v>135</v>
      </c>
      <c r="I818" s="66" t="s">
        <v>286</v>
      </c>
      <c r="J818" s="67" t="s">
        <v>137</v>
      </c>
      <c r="K818" s="309"/>
      <c r="L818" s="68">
        <f t="shared" ref="L818:AB819" si="426">L819</f>
        <v>2830921.54</v>
      </c>
      <c r="M818" s="69">
        <f t="shared" si="426"/>
        <v>0</v>
      </c>
      <c r="N818" s="216">
        <f t="shared" ref="N818:Z818" si="427">N819+N821</f>
        <v>387237.55</v>
      </c>
      <c r="O818" s="216">
        <f t="shared" si="427"/>
        <v>3231.9</v>
      </c>
      <c r="P818" s="216">
        <f t="shared" si="427"/>
        <v>390469.44999999995</v>
      </c>
      <c r="Q818" s="215">
        <f t="shared" si="427"/>
        <v>403273.68999999994</v>
      </c>
      <c r="R818" s="216">
        <f t="shared" si="427"/>
        <v>98269.63</v>
      </c>
      <c r="S818" s="216">
        <f>S819+S821</f>
        <v>0</v>
      </c>
      <c r="T818" s="216">
        <f>T819+T821</f>
        <v>390469.44999999995</v>
      </c>
      <c r="U818" s="217">
        <f t="shared" si="427"/>
        <v>501543.31999999995</v>
      </c>
      <c r="V818" s="216">
        <f t="shared" si="427"/>
        <v>421618.93</v>
      </c>
      <c r="W818" s="215">
        <f t="shared" si="427"/>
        <v>119725.1</v>
      </c>
      <c r="X818" s="215">
        <f>X819+X821</f>
        <v>0</v>
      </c>
      <c r="Y818" s="216">
        <f>Y819+Y821</f>
        <v>501543.32</v>
      </c>
      <c r="Z818" s="217">
        <f t="shared" si="427"/>
        <v>541344.03</v>
      </c>
      <c r="AA818" s="216">
        <f>AA819+AA821</f>
        <v>0</v>
      </c>
      <c r="AB818" s="216">
        <f>AB819+AB821</f>
        <v>541344.03</v>
      </c>
    </row>
    <row r="819" spans="1:28" s="100" customFormat="1" ht="25.5" customHeight="1" x14ac:dyDescent="0.2">
      <c r="A819" s="212" t="s">
        <v>67</v>
      </c>
      <c r="B819" s="77" t="s">
        <v>375</v>
      </c>
      <c r="C819" s="58" t="s">
        <v>76</v>
      </c>
      <c r="D819" s="59" t="s">
        <v>72</v>
      </c>
      <c r="E819" s="66" t="s">
        <v>314</v>
      </c>
      <c r="F819" s="66" t="s">
        <v>135</v>
      </c>
      <c r="G819" s="66" t="s">
        <v>135</v>
      </c>
      <c r="H819" s="66" t="s">
        <v>135</v>
      </c>
      <c r="I819" s="66" t="s">
        <v>286</v>
      </c>
      <c r="J819" s="67" t="s">
        <v>137</v>
      </c>
      <c r="K819" s="309" t="s">
        <v>60</v>
      </c>
      <c r="L819" s="68">
        <f t="shared" si="426"/>
        <v>2830921.54</v>
      </c>
      <c r="M819" s="69">
        <f t="shared" si="426"/>
        <v>0</v>
      </c>
      <c r="N819" s="216">
        <f t="shared" si="426"/>
        <v>354741.72</v>
      </c>
      <c r="O819" s="216">
        <f t="shared" si="426"/>
        <v>0</v>
      </c>
      <c r="P819" s="216">
        <f t="shared" si="426"/>
        <v>354741.72</v>
      </c>
      <c r="Q819" s="215">
        <f t="shared" si="426"/>
        <v>354741.72</v>
      </c>
      <c r="R819" s="216">
        <f t="shared" si="426"/>
        <v>118247.24</v>
      </c>
      <c r="S819" s="216">
        <f t="shared" si="426"/>
        <v>6600</v>
      </c>
      <c r="T819" s="216">
        <f t="shared" si="426"/>
        <v>361341.72</v>
      </c>
      <c r="U819" s="217">
        <f t="shared" si="426"/>
        <v>472988.95999999996</v>
      </c>
      <c r="V819" s="216">
        <f t="shared" si="426"/>
        <v>354741.72</v>
      </c>
      <c r="W819" s="215">
        <f t="shared" si="426"/>
        <v>118247.24</v>
      </c>
      <c r="X819" s="215">
        <f t="shared" si="426"/>
        <v>0</v>
      </c>
      <c r="Y819" s="216">
        <f t="shared" si="426"/>
        <v>472988.96</v>
      </c>
      <c r="Z819" s="217">
        <f t="shared" si="426"/>
        <v>472988.95999999996</v>
      </c>
      <c r="AA819" s="216">
        <f t="shared" si="426"/>
        <v>0</v>
      </c>
      <c r="AB819" s="216">
        <f t="shared" si="426"/>
        <v>472988.96</v>
      </c>
    </row>
    <row r="820" spans="1:28" s="100" customFormat="1" ht="25.5" customHeight="1" x14ac:dyDescent="0.2">
      <c r="A820" s="212" t="s">
        <v>61</v>
      </c>
      <c r="B820" s="77" t="s">
        <v>375</v>
      </c>
      <c r="C820" s="58" t="s">
        <v>76</v>
      </c>
      <c r="D820" s="59" t="s">
        <v>72</v>
      </c>
      <c r="E820" s="66" t="s">
        <v>314</v>
      </c>
      <c r="F820" s="66" t="s">
        <v>135</v>
      </c>
      <c r="G820" s="66" t="s">
        <v>135</v>
      </c>
      <c r="H820" s="66" t="s">
        <v>135</v>
      </c>
      <c r="I820" s="66" t="s">
        <v>286</v>
      </c>
      <c r="J820" s="67" t="s">
        <v>137</v>
      </c>
      <c r="K820" s="309" t="s">
        <v>171</v>
      </c>
      <c r="L820" s="68">
        <v>2830921.54</v>
      </c>
      <c r="M820" s="69">
        <v>0</v>
      </c>
      <c r="N820" s="216">
        <v>354741.72</v>
      </c>
      <c r="O820" s="216">
        <v>0</v>
      </c>
      <c r="P820" s="216">
        <v>354741.72</v>
      </c>
      <c r="Q820" s="215">
        <v>354741.72</v>
      </c>
      <c r="R820" s="216">
        <v>118247.24</v>
      </c>
      <c r="S820" s="216">
        <f>4100+2500</f>
        <v>6600</v>
      </c>
      <c r="T820" s="216">
        <f>S820+P820</f>
        <v>361341.72</v>
      </c>
      <c r="U820" s="217">
        <f>R820+Q820</f>
        <v>472988.95999999996</v>
      </c>
      <c r="V820" s="216">
        <v>354741.72</v>
      </c>
      <c r="W820" s="215">
        <v>118247.24</v>
      </c>
      <c r="X820" s="215">
        <v>0</v>
      </c>
      <c r="Y820" s="216">
        <v>472988.96</v>
      </c>
      <c r="Z820" s="217">
        <f>W820+V820</f>
        <v>472988.95999999996</v>
      </c>
      <c r="AA820" s="216">
        <v>0</v>
      </c>
      <c r="AB820" s="216">
        <f>Y820+X820</f>
        <v>472988.96</v>
      </c>
    </row>
    <row r="821" spans="1:28" s="100" customFormat="1" ht="25.5" customHeight="1" x14ac:dyDescent="0.2">
      <c r="A821" s="212" t="s">
        <v>52</v>
      </c>
      <c r="B821" s="77" t="s">
        <v>375</v>
      </c>
      <c r="C821" s="58" t="s">
        <v>76</v>
      </c>
      <c r="D821" s="59" t="s">
        <v>72</v>
      </c>
      <c r="E821" s="66" t="s">
        <v>314</v>
      </c>
      <c r="F821" s="66" t="s">
        <v>135</v>
      </c>
      <c r="G821" s="66" t="s">
        <v>135</v>
      </c>
      <c r="H821" s="66" t="s">
        <v>135</v>
      </c>
      <c r="I821" s="66" t="s">
        <v>286</v>
      </c>
      <c r="J821" s="67" t="s">
        <v>137</v>
      </c>
      <c r="K821" s="309" t="s">
        <v>53</v>
      </c>
      <c r="L821" s="68"/>
      <c r="M821" s="69"/>
      <c r="N821" s="216">
        <f t="shared" ref="N821:AB821" si="428">N822</f>
        <v>32495.83</v>
      </c>
      <c r="O821" s="216">
        <f t="shared" si="428"/>
        <v>3231.9</v>
      </c>
      <c r="P821" s="216">
        <f t="shared" si="428"/>
        <v>35727.730000000003</v>
      </c>
      <c r="Q821" s="215">
        <f t="shared" si="428"/>
        <v>48531.97</v>
      </c>
      <c r="R821" s="216">
        <f t="shared" si="428"/>
        <v>-19977.61</v>
      </c>
      <c r="S821" s="216">
        <f t="shared" si="428"/>
        <v>-6600</v>
      </c>
      <c r="T821" s="216">
        <f t="shared" si="428"/>
        <v>29127.730000000003</v>
      </c>
      <c r="U821" s="217">
        <f t="shared" si="428"/>
        <v>28554.36</v>
      </c>
      <c r="V821" s="216">
        <f t="shared" si="428"/>
        <v>66877.210000000006</v>
      </c>
      <c r="W821" s="215">
        <f t="shared" si="428"/>
        <v>1477.86</v>
      </c>
      <c r="X821" s="215">
        <f t="shared" si="428"/>
        <v>0</v>
      </c>
      <c r="Y821" s="216">
        <f t="shared" si="428"/>
        <v>28554.36</v>
      </c>
      <c r="Z821" s="217">
        <f t="shared" si="428"/>
        <v>68355.070000000007</v>
      </c>
      <c r="AA821" s="216">
        <f t="shared" si="428"/>
        <v>0</v>
      </c>
      <c r="AB821" s="216">
        <f t="shared" si="428"/>
        <v>68355.070000000007</v>
      </c>
    </row>
    <row r="822" spans="1:28" s="100" customFormat="1" ht="25.5" customHeight="1" x14ac:dyDescent="0.2">
      <c r="A822" s="212" t="s">
        <v>54</v>
      </c>
      <c r="B822" s="77" t="s">
        <v>375</v>
      </c>
      <c r="C822" s="58" t="s">
        <v>76</v>
      </c>
      <c r="D822" s="59" t="s">
        <v>72</v>
      </c>
      <c r="E822" s="66" t="s">
        <v>314</v>
      </c>
      <c r="F822" s="66" t="s">
        <v>135</v>
      </c>
      <c r="G822" s="66" t="s">
        <v>135</v>
      </c>
      <c r="H822" s="66" t="s">
        <v>135</v>
      </c>
      <c r="I822" s="66" t="s">
        <v>286</v>
      </c>
      <c r="J822" s="67" t="s">
        <v>137</v>
      </c>
      <c r="K822" s="309" t="s">
        <v>55</v>
      </c>
      <c r="L822" s="68"/>
      <c r="M822" s="69"/>
      <c r="N822" s="216">
        <v>32495.83</v>
      </c>
      <c r="O822" s="216">
        <v>3231.9</v>
      </c>
      <c r="P822" s="216">
        <f>O822+N822</f>
        <v>35727.730000000003</v>
      </c>
      <c r="Q822" s="215">
        <v>48531.97</v>
      </c>
      <c r="R822" s="216">
        <v>-19977.61</v>
      </c>
      <c r="S822" s="216">
        <f>-4100-2500</f>
        <v>-6600</v>
      </c>
      <c r="T822" s="216">
        <f>S822+P822</f>
        <v>29127.730000000003</v>
      </c>
      <c r="U822" s="217">
        <f>R822+Q822</f>
        <v>28554.36</v>
      </c>
      <c r="V822" s="216">
        <v>66877.210000000006</v>
      </c>
      <c r="W822" s="215">
        <v>1477.86</v>
      </c>
      <c r="X822" s="215">
        <v>0</v>
      </c>
      <c r="Y822" s="216">
        <v>28554.36</v>
      </c>
      <c r="Z822" s="217">
        <f>W822+V822</f>
        <v>68355.070000000007</v>
      </c>
      <c r="AA822" s="216">
        <v>0</v>
      </c>
      <c r="AB822" s="216">
        <v>68355.070000000007</v>
      </c>
    </row>
    <row r="823" spans="1:28" s="100" customFormat="1" ht="25.5" customHeight="1" x14ac:dyDescent="0.2">
      <c r="A823" s="212" t="s">
        <v>85</v>
      </c>
      <c r="B823" s="77" t="s">
        <v>375</v>
      </c>
      <c r="C823" s="78" t="s">
        <v>72</v>
      </c>
      <c r="D823" s="78"/>
      <c r="E823" s="103"/>
      <c r="F823" s="66"/>
      <c r="G823" s="66"/>
      <c r="H823" s="66"/>
      <c r="I823" s="66"/>
      <c r="J823" s="67"/>
      <c r="K823" s="309"/>
      <c r="L823" s="68"/>
      <c r="M823" s="68"/>
      <c r="N823" s="216">
        <f t="shared" ref="N823:AB823" si="429">N824</f>
        <v>0</v>
      </c>
      <c r="O823" s="216">
        <f t="shared" si="429"/>
        <v>0</v>
      </c>
      <c r="P823" s="216">
        <f t="shared" si="429"/>
        <v>0</v>
      </c>
      <c r="Q823" s="215">
        <f t="shared" si="429"/>
        <v>59686287.090000004</v>
      </c>
      <c r="R823" s="216">
        <f t="shared" si="429"/>
        <v>33201770</v>
      </c>
      <c r="S823" s="216">
        <f t="shared" si="429"/>
        <v>1579370</v>
      </c>
      <c r="T823" s="216">
        <f t="shared" si="429"/>
        <v>1579370</v>
      </c>
      <c r="U823" s="217">
        <f t="shared" si="429"/>
        <v>38175010</v>
      </c>
      <c r="V823" s="216">
        <f t="shared" si="429"/>
        <v>90391297.090000004</v>
      </c>
      <c r="W823" s="215">
        <f t="shared" si="429"/>
        <v>980000</v>
      </c>
      <c r="X823" s="215">
        <f t="shared" si="429"/>
        <v>0</v>
      </c>
      <c r="Y823" s="216">
        <f t="shared" si="429"/>
        <v>38175010</v>
      </c>
      <c r="Z823" s="217">
        <f t="shared" si="429"/>
        <v>2049500</v>
      </c>
      <c r="AA823" s="216">
        <f t="shared" si="429"/>
        <v>0</v>
      </c>
      <c r="AB823" s="216">
        <f t="shared" si="429"/>
        <v>2049500</v>
      </c>
    </row>
    <row r="824" spans="1:28" s="100" customFormat="1" ht="25.5" customHeight="1" x14ac:dyDescent="0.2">
      <c r="A824" s="207" t="s">
        <v>228</v>
      </c>
      <c r="B824" s="77" t="s">
        <v>375</v>
      </c>
      <c r="C824" s="78" t="s">
        <v>72</v>
      </c>
      <c r="D824" s="78" t="s">
        <v>88</v>
      </c>
      <c r="E824" s="103"/>
      <c r="F824" s="66"/>
      <c r="G824" s="66"/>
      <c r="H824" s="66"/>
      <c r="I824" s="66"/>
      <c r="J824" s="67"/>
      <c r="K824" s="309"/>
      <c r="L824" s="68" t="e">
        <f t="shared" ref="L824:O825" si="430">L825</f>
        <v>#REF!</v>
      </c>
      <c r="M824" s="69" t="e">
        <f t="shared" si="430"/>
        <v>#REF!</v>
      </c>
      <c r="N824" s="216">
        <f>N825</f>
        <v>0</v>
      </c>
      <c r="O824" s="216">
        <f>O825</f>
        <v>0</v>
      </c>
      <c r="P824" s="216">
        <f>P825</f>
        <v>0</v>
      </c>
      <c r="Q824" s="215">
        <f t="shared" ref="Q824:AB827" si="431">Q825</f>
        <v>59686287.090000004</v>
      </c>
      <c r="R824" s="216">
        <f t="shared" si="431"/>
        <v>33201770</v>
      </c>
      <c r="S824" s="216">
        <f>S825</f>
        <v>1579370</v>
      </c>
      <c r="T824" s="216">
        <f>T825</f>
        <v>1579370</v>
      </c>
      <c r="U824" s="217">
        <f t="shared" si="431"/>
        <v>38175010</v>
      </c>
      <c r="V824" s="216">
        <f t="shared" si="431"/>
        <v>90391297.090000004</v>
      </c>
      <c r="W824" s="215">
        <f t="shared" si="431"/>
        <v>980000</v>
      </c>
      <c r="X824" s="215">
        <f t="shared" si="431"/>
        <v>0</v>
      </c>
      <c r="Y824" s="216">
        <f t="shared" si="431"/>
        <v>38175010</v>
      </c>
      <c r="Z824" s="217">
        <f t="shared" si="431"/>
        <v>2049500</v>
      </c>
      <c r="AA824" s="216">
        <f t="shared" si="431"/>
        <v>0</v>
      </c>
      <c r="AB824" s="216">
        <f t="shared" si="431"/>
        <v>2049500</v>
      </c>
    </row>
    <row r="825" spans="1:28" s="100" customFormat="1" ht="63" customHeight="1" x14ac:dyDescent="0.2">
      <c r="A825" s="212" t="s">
        <v>349</v>
      </c>
      <c r="B825" s="77" t="s">
        <v>375</v>
      </c>
      <c r="C825" s="78" t="s">
        <v>72</v>
      </c>
      <c r="D825" s="78" t="s">
        <v>88</v>
      </c>
      <c r="E825" s="103" t="s">
        <v>249</v>
      </c>
      <c r="F825" s="66" t="s">
        <v>135</v>
      </c>
      <c r="G825" s="66" t="s">
        <v>135</v>
      </c>
      <c r="H825" s="66" t="s">
        <v>135</v>
      </c>
      <c r="I825" s="66" t="s">
        <v>136</v>
      </c>
      <c r="J825" s="67" t="s">
        <v>135</v>
      </c>
      <c r="K825" s="309"/>
      <c r="L825" s="68" t="e">
        <f t="shared" si="430"/>
        <v>#REF!</v>
      </c>
      <c r="M825" s="69" t="e">
        <f t="shared" si="430"/>
        <v>#REF!</v>
      </c>
      <c r="N825" s="216">
        <f t="shared" si="430"/>
        <v>0</v>
      </c>
      <c r="O825" s="216">
        <f t="shared" si="430"/>
        <v>0</v>
      </c>
      <c r="P825" s="216">
        <f>P826+P829</f>
        <v>0</v>
      </c>
      <c r="Q825" s="216">
        <f t="shared" ref="Q825:AB825" si="432">Q826+Q829</f>
        <v>59686287.090000004</v>
      </c>
      <c r="R825" s="216">
        <f t="shared" si="432"/>
        <v>33201770</v>
      </c>
      <c r="S825" s="216">
        <f t="shared" si="432"/>
        <v>1579370</v>
      </c>
      <c r="T825" s="216">
        <f t="shared" si="432"/>
        <v>1579370</v>
      </c>
      <c r="U825" s="217">
        <f t="shared" si="432"/>
        <v>38175010</v>
      </c>
      <c r="V825" s="216">
        <f t="shared" si="432"/>
        <v>90391297.090000004</v>
      </c>
      <c r="W825" s="216">
        <f t="shared" si="432"/>
        <v>980000</v>
      </c>
      <c r="X825" s="215">
        <f t="shared" si="432"/>
        <v>0</v>
      </c>
      <c r="Y825" s="216">
        <f t="shared" si="432"/>
        <v>38175010</v>
      </c>
      <c r="Z825" s="217">
        <f t="shared" si="432"/>
        <v>2049500</v>
      </c>
      <c r="AA825" s="216">
        <f t="shared" si="432"/>
        <v>0</v>
      </c>
      <c r="AB825" s="216">
        <f t="shared" si="432"/>
        <v>2049500</v>
      </c>
    </row>
    <row r="826" spans="1:28" s="100" customFormat="1" ht="25.5" customHeight="1" x14ac:dyDescent="0.2">
      <c r="A826" s="212" t="s">
        <v>251</v>
      </c>
      <c r="B826" s="77" t="s">
        <v>375</v>
      </c>
      <c r="C826" s="78" t="s">
        <v>72</v>
      </c>
      <c r="D826" s="78" t="s">
        <v>88</v>
      </c>
      <c r="E826" s="103" t="s">
        <v>249</v>
      </c>
      <c r="F826" s="66" t="s">
        <v>135</v>
      </c>
      <c r="G826" s="66" t="s">
        <v>135</v>
      </c>
      <c r="H826" s="66" t="s">
        <v>135</v>
      </c>
      <c r="I826" s="66" t="s">
        <v>196</v>
      </c>
      <c r="J826" s="67" t="s">
        <v>135</v>
      </c>
      <c r="K826" s="309"/>
      <c r="L826" s="68" t="e">
        <f>#REF!+L827</f>
        <v>#REF!</v>
      </c>
      <c r="M826" s="69" t="e">
        <f>#REF!+M827</f>
        <v>#REF!</v>
      </c>
      <c r="N826" s="216">
        <f t="shared" ref="N826:P827" si="433">N827</f>
        <v>0</v>
      </c>
      <c r="O826" s="216">
        <f t="shared" si="433"/>
        <v>0</v>
      </c>
      <c r="P826" s="216">
        <f t="shared" si="433"/>
        <v>0</v>
      </c>
      <c r="Q826" s="215">
        <f t="shared" si="431"/>
        <v>38175010</v>
      </c>
      <c r="R826" s="216">
        <f t="shared" si="431"/>
        <v>0</v>
      </c>
      <c r="S826" s="216">
        <f t="shared" si="431"/>
        <v>45000</v>
      </c>
      <c r="T826" s="216">
        <f t="shared" si="431"/>
        <v>45000</v>
      </c>
      <c r="U826" s="217">
        <f t="shared" si="431"/>
        <v>38175010</v>
      </c>
      <c r="V826" s="216">
        <f t="shared" si="431"/>
        <v>2049500</v>
      </c>
      <c r="W826" s="215">
        <f t="shared" si="431"/>
        <v>0</v>
      </c>
      <c r="X826" s="215">
        <f t="shared" si="431"/>
        <v>0</v>
      </c>
      <c r="Y826" s="216">
        <f t="shared" si="431"/>
        <v>38175010</v>
      </c>
      <c r="Z826" s="217">
        <f t="shared" si="431"/>
        <v>2049500</v>
      </c>
      <c r="AA826" s="216">
        <f t="shared" si="431"/>
        <v>0</v>
      </c>
      <c r="AB826" s="216">
        <f t="shared" si="431"/>
        <v>2049500</v>
      </c>
    </row>
    <row r="827" spans="1:28" s="100" customFormat="1" ht="25.5" customHeight="1" x14ac:dyDescent="0.2">
      <c r="A827" s="212" t="s">
        <v>52</v>
      </c>
      <c r="B827" s="77" t="s">
        <v>375</v>
      </c>
      <c r="C827" s="78" t="s">
        <v>72</v>
      </c>
      <c r="D827" s="78" t="s">
        <v>88</v>
      </c>
      <c r="E827" s="103" t="s">
        <v>249</v>
      </c>
      <c r="F827" s="66" t="s">
        <v>135</v>
      </c>
      <c r="G827" s="66" t="s">
        <v>135</v>
      </c>
      <c r="H827" s="66" t="s">
        <v>135</v>
      </c>
      <c r="I827" s="66" t="s">
        <v>196</v>
      </c>
      <c r="J827" s="67" t="s">
        <v>135</v>
      </c>
      <c r="K827" s="309" t="s">
        <v>53</v>
      </c>
      <c r="L827" s="120">
        <f>L828</f>
        <v>24300</v>
      </c>
      <c r="M827" s="121">
        <f>M828</f>
        <v>0</v>
      </c>
      <c r="N827" s="216">
        <f t="shared" si="433"/>
        <v>0</v>
      </c>
      <c r="O827" s="216">
        <f t="shared" si="433"/>
        <v>0</v>
      </c>
      <c r="P827" s="216">
        <f t="shared" si="433"/>
        <v>0</v>
      </c>
      <c r="Q827" s="215">
        <f t="shared" ref="Q827:AB827" si="434">Q828</f>
        <v>38175010</v>
      </c>
      <c r="R827" s="216">
        <f t="shared" si="434"/>
        <v>0</v>
      </c>
      <c r="S827" s="216">
        <f t="shared" si="431"/>
        <v>45000</v>
      </c>
      <c r="T827" s="216">
        <f t="shared" si="431"/>
        <v>45000</v>
      </c>
      <c r="U827" s="217">
        <f t="shared" si="434"/>
        <v>38175010</v>
      </c>
      <c r="V827" s="216">
        <f t="shared" si="434"/>
        <v>2049500</v>
      </c>
      <c r="W827" s="215">
        <f t="shared" si="434"/>
        <v>0</v>
      </c>
      <c r="X827" s="215">
        <f t="shared" si="434"/>
        <v>0</v>
      </c>
      <c r="Y827" s="216">
        <f t="shared" si="434"/>
        <v>38175010</v>
      </c>
      <c r="Z827" s="217">
        <f t="shared" si="434"/>
        <v>2049500</v>
      </c>
      <c r="AA827" s="216">
        <f t="shared" si="434"/>
        <v>0</v>
      </c>
      <c r="AB827" s="216">
        <f t="shared" si="434"/>
        <v>2049500</v>
      </c>
    </row>
    <row r="828" spans="1:28" s="100" customFormat="1" ht="25.5" customHeight="1" x14ac:dyDescent="0.2">
      <c r="A828" s="212" t="s">
        <v>54</v>
      </c>
      <c r="B828" s="77" t="s">
        <v>375</v>
      </c>
      <c r="C828" s="78" t="s">
        <v>72</v>
      </c>
      <c r="D828" s="78" t="s">
        <v>88</v>
      </c>
      <c r="E828" s="103" t="s">
        <v>249</v>
      </c>
      <c r="F828" s="66" t="s">
        <v>135</v>
      </c>
      <c r="G828" s="66" t="s">
        <v>135</v>
      </c>
      <c r="H828" s="66" t="s">
        <v>135</v>
      </c>
      <c r="I828" s="66" t="s">
        <v>196</v>
      </c>
      <c r="J828" s="67" t="s">
        <v>135</v>
      </c>
      <c r="K828" s="309" t="s">
        <v>55</v>
      </c>
      <c r="L828" s="122">
        <v>24300</v>
      </c>
      <c r="M828" s="123">
        <v>0</v>
      </c>
      <c r="N828" s="210">
        <v>0</v>
      </c>
      <c r="O828" s="210">
        <v>0</v>
      </c>
      <c r="P828" s="210">
        <v>0</v>
      </c>
      <c r="Q828" s="209">
        <v>38175010</v>
      </c>
      <c r="R828" s="210">
        <v>0</v>
      </c>
      <c r="S828" s="210">
        <v>45000</v>
      </c>
      <c r="T828" s="210">
        <f>S828</f>
        <v>45000</v>
      </c>
      <c r="U828" s="211">
        <v>38175010</v>
      </c>
      <c r="V828" s="210">
        <v>2049500</v>
      </c>
      <c r="W828" s="209">
        <v>0</v>
      </c>
      <c r="X828" s="209">
        <v>0</v>
      </c>
      <c r="Y828" s="210">
        <v>38175010</v>
      </c>
      <c r="Z828" s="211">
        <v>2049500</v>
      </c>
      <c r="AA828" s="210">
        <v>0</v>
      </c>
      <c r="AB828" s="210">
        <v>2049500</v>
      </c>
    </row>
    <row r="829" spans="1:28" s="100" customFormat="1" ht="64.5" customHeight="1" x14ac:dyDescent="0.2">
      <c r="A829" s="212" t="s">
        <v>347</v>
      </c>
      <c r="B829" s="58" t="s">
        <v>375</v>
      </c>
      <c r="C829" s="77" t="s">
        <v>72</v>
      </c>
      <c r="D829" s="78" t="s">
        <v>88</v>
      </c>
      <c r="E829" s="66" t="s">
        <v>249</v>
      </c>
      <c r="F829" s="66" t="s">
        <v>135</v>
      </c>
      <c r="G829" s="66" t="s">
        <v>135</v>
      </c>
      <c r="H829" s="66" t="s">
        <v>135</v>
      </c>
      <c r="I829" s="66" t="s">
        <v>389</v>
      </c>
      <c r="J829" s="67" t="s">
        <v>135</v>
      </c>
      <c r="K829" s="309"/>
      <c r="L829" s="68" t="e">
        <f>#REF!+L830</f>
        <v>#REF!</v>
      </c>
      <c r="M829" s="69" t="e">
        <f>#REF!+M830</f>
        <v>#REF!</v>
      </c>
      <c r="N829" s="216">
        <f t="shared" ref="N829:AB830" si="435">N830</f>
        <v>0</v>
      </c>
      <c r="O829" s="216">
        <f t="shared" si="435"/>
        <v>1000000</v>
      </c>
      <c r="P829" s="216">
        <f t="shared" si="435"/>
        <v>0</v>
      </c>
      <c r="Q829" s="68">
        <f t="shared" si="435"/>
        <v>21511277.09</v>
      </c>
      <c r="R829" s="216">
        <f t="shared" si="435"/>
        <v>33201770</v>
      </c>
      <c r="S829" s="216">
        <f t="shared" si="435"/>
        <v>1534370</v>
      </c>
      <c r="T829" s="216">
        <f t="shared" si="435"/>
        <v>1534370</v>
      </c>
      <c r="U829" s="68">
        <f t="shared" si="435"/>
        <v>0</v>
      </c>
      <c r="V829" s="216">
        <f t="shared" si="435"/>
        <v>88341797.090000004</v>
      </c>
      <c r="W829" s="215">
        <f t="shared" si="435"/>
        <v>980000</v>
      </c>
      <c r="X829" s="215">
        <f t="shared" si="435"/>
        <v>0</v>
      </c>
      <c r="Y829" s="216">
        <f t="shared" si="435"/>
        <v>0</v>
      </c>
      <c r="Z829" s="217">
        <f t="shared" si="435"/>
        <v>0</v>
      </c>
      <c r="AA829" s="216">
        <f t="shared" si="435"/>
        <v>0</v>
      </c>
      <c r="AB829" s="216">
        <f t="shared" si="435"/>
        <v>0</v>
      </c>
    </row>
    <row r="830" spans="1:28" s="100" customFormat="1" ht="27.75" customHeight="1" x14ac:dyDescent="0.2">
      <c r="A830" s="363" t="s">
        <v>187</v>
      </c>
      <c r="B830" s="58" t="s">
        <v>375</v>
      </c>
      <c r="C830" s="77" t="s">
        <v>72</v>
      </c>
      <c r="D830" s="78" t="s">
        <v>88</v>
      </c>
      <c r="E830" s="66" t="s">
        <v>249</v>
      </c>
      <c r="F830" s="66" t="s">
        <v>135</v>
      </c>
      <c r="G830" s="66" t="s">
        <v>135</v>
      </c>
      <c r="H830" s="66" t="s">
        <v>135</v>
      </c>
      <c r="I830" s="66" t="s">
        <v>389</v>
      </c>
      <c r="J830" s="67" t="s">
        <v>135</v>
      </c>
      <c r="K830" s="309" t="s">
        <v>160</v>
      </c>
      <c r="L830" s="120">
        <f>L831</f>
        <v>24300</v>
      </c>
      <c r="M830" s="121">
        <f>M831</f>
        <v>0</v>
      </c>
      <c r="N830" s="216">
        <f t="shared" si="435"/>
        <v>0</v>
      </c>
      <c r="O830" s="216">
        <f t="shared" si="435"/>
        <v>1000000</v>
      </c>
      <c r="P830" s="216">
        <f t="shared" si="435"/>
        <v>0</v>
      </c>
      <c r="Q830" s="68">
        <f t="shared" si="435"/>
        <v>21511277.09</v>
      </c>
      <c r="R830" s="216">
        <f t="shared" si="435"/>
        <v>33201770</v>
      </c>
      <c r="S830" s="216">
        <f t="shared" si="435"/>
        <v>1534370</v>
      </c>
      <c r="T830" s="216">
        <f t="shared" si="435"/>
        <v>1534370</v>
      </c>
      <c r="U830" s="68">
        <f t="shared" si="435"/>
        <v>0</v>
      </c>
      <c r="V830" s="216">
        <f t="shared" si="435"/>
        <v>88341797.090000004</v>
      </c>
      <c r="W830" s="215">
        <f t="shared" si="435"/>
        <v>980000</v>
      </c>
      <c r="X830" s="215">
        <f t="shared" si="435"/>
        <v>0</v>
      </c>
      <c r="Y830" s="216">
        <f t="shared" si="435"/>
        <v>0</v>
      </c>
      <c r="Z830" s="217">
        <f t="shared" si="435"/>
        <v>0</v>
      </c>
      <c r="AA830" s="216">
        <f t="shared" si="435"/>
        <v>0</v>
      </c>
      <c r="AB830" s="216">
        <f t="shared" si="435"/>
        <v>0</v>
      </c>
    </row>
    <row r="831" spans="1:28" s="100" customFormat="1" ht="21.75" customHeight="1" x14ac:dyDescent="0.2">
      <c r="A831" s="364" t="s">
        <v>162</v>
      </c>
      <c r="B831" s="58" t="s">
        <v>375</v>
      </c>
      <c r="C831" s="77" t="s">
        <v>72</v>
      </c>
      <c r="D831" s="78" t="s">
        <v>88</v>
      </c>
      <c r="E831" s="66" t="s">
        <v>249</v>
      </c>
      <c r="F831" s="66" t="s">
        <v>135</v>
      </c>
      <c r="G831" s="66" t="s">
        <v>135</v>
      </c>
      <c r="H831" s="66" t="s">
        <v>135</v>
      </c>
      <c r="I831" s="66" t="s">
        <v>389</v>
      </c>
      <c r="J831" s="67" t="s">
        <v>135</v>
      </c>
      <c r="K831" s="309" t="s">
        <v>161</v>
      </c>
      <c r="L831" s="122">
        <v>24300</v>
      </c>
      <c r="M831" s="123">
        <v>0</v>
      </c>
      <c r="N831" s="210">
        <v>0</v>
      </c>
      <c r="O831" s="210">
        <v>1000000</v>
      </c>
      <c r="P831" s="210">
        <v>0</v>
      </c>
      <c r="Q831" s="118">
        <v>21511277.09</v>
      </c>
      <c r="R831" s="210">
        <f>14539830+18661940</f>
        <v>33201770</v>
      </c>
      <c r="S831" s="210">
        <v>1534370</v>
      </c>
      <c r="T831" s="210">
        <f>S831+P831</f>
        <v>1534370</v>
      </c>
      <c r="U831" s="118">
        <v>0</v>
      </c>
      <c r="V831" s="210">
        <v>88341797.090000004</v>
      </c>
      <c r="W831" s="209">
        <f>730500+249500</f>
        <v>980000</v>
      </c>
      <c r="X831" s="209">
        <v>0</v>
      </c>
      <c r="Y831" s="210">
        <v>0</v>
      </c>
      <c r="Z831" s="211">
        <v>0</v>
      </c>
      <c r="AA831" s="210">
        <v>0</v>
      </c>
      <c r="AB831" s="210">
        <v>0</v>
      </c>
    </row>
    <row r="832" spans="1:28" s="100" customFormat="1" ht="25.5" customHeight="1" x14ac:dyDescent="0.2">
      <c r="A832" s="207" t="s">
        <v>87</v>
      </c>
      <c r="B832" s="77" t="s">
        <v>375</v>
      </c>
      <c r="C832" s="59" t="s">
        <v>71</v>
      </c>
      <c r="D832" s="59"/>
      <c r="E832" s="103"/>
      <c r="F832" s="66"/>
      <c r="G832" s="66"/>
      <c r="H832" s="66"/>
      <c r="I832" s="66"/>
      <c r="J832" s="67"/>
      <c r="K832" s="309"/>
      <c r="L832" s="122"/>
      <c r="M832" s="122"/>
      <c r="N832" s="210">
        <f t="shared" ref="N832:AB834" si="436">N833</f>
        <v>6521095.71</v>
      </c>
      <c r="O832" s="210">
        <f t="shared" si="436"/>
        <v>0</v>
      </c>
      <c r="P832" s="210">
        <f t="shared" si="436"/>
        <v>6864176.9100000001</v>
      </c>
      <c r="Q832" s="209">
        <f t="shared" si="436"/>
        <v>6521095.71</v>
      </c>
      <c r="R832" s="210">
        <f t="shared" si="436"/>
        <v>0</v>
      </c>
      <c r="S832" s="210">
        <f t="shared" si="436"/>
        <v>0</v>
      </c>
      <c r="T832" s="210">
        <f t="shared" si="436"/>
        <v>6864176.9100000001</v>
      </c>
      <c r="U832" s="211">
        <f t="shared" si="436"/>
        <v>6521095.71</v>
      </c>
      <c r="V832" s="210">
        <f t="shared" si="436"/>
        <v>6521095.71</v>
      </c>
      <c r="W832" s="209">
        <f t="shared" si="436"/>
        <v>0</v>
      </c>
      <c r="X832" s="209">
        <f t="shared" si="436"/>
        <v>0</v>
      </c>
      <c r="Y832" s="210">
        <f t="shared" si="436"/>
        <v>6521095.71</v>
      </c>
      <c r="Z832" s="211">
        <f t="shared" si="436"/>
        <v>6521095.71</v>
      </c>
      <c r="AA832" s="210">
        <f t="shared" si="436"/>
        <v>0</v>
      </c>
      <c r="AB832" s="210">
        <f t="shared" si="436"/>
        <v>6521095.71</v>
      </c>
    </row>
    <row r="833" spans="1:28" s="100" customFormat="1" ht="25.5" customHeight="1" x14ac:dyDescent="0.2">
      <c r="A833" s="207" t="s">
        <v>122</v>
      </c>
      <c r="B833" s="77" t="s">
        <v>375</v>
      </c>
      <c r="C833" s="59" t="s">
        <v>71</v>
      </c>
      <c r="D833" s="59" t="s">
        <v>86</v>
      </c>
      <c r="E833" s="58"/>
      <c r="F833" s="60"/>
      <c r="G833" s="66"/>
      <c r="H833" s="66"/>
      <c r="I833" s="60"/>
      <c r="J833" s="76"/>
      <c r="K833" s="408"/>
      <c r="L833" s="122"/>
      <c r="M833" s="122"/>
      <c r="N833" s="210">
        <f t="shared" si="436"/>
        <v>6521095.71</v>
      </c>
      <c r="O833" s="210">
        <f t="shared" si="436"/>
        <v>0</v>
      </c>
      <c r="P833" s="210">
        <f t="shared" si="436"/>
        <v>6864176.9100000001</v>
      </c>
      <c r="Q833" s="209">
        <f t="shared" si="436"/>
        <v>6521095.71</v>
      </c>
      <c r="R833" s="210">
        <f t="shared" si="436"/>
        <v>0</v>
      </c>
      <c r="S833" s="210">
        <f t="shared" si="436"/>
        <v>0</v>
      </c>
      <c r="T833" s="210">
        <f t="shared" si="436"/>
        <v>6864176.9100000001</v>
      </c>
      <c r="U833" s="211">
        <f t="shared" si="436"/>
        <v>6521095.71</v>
      </c>
      <c r="V833" s="210">
        <f t="shared" si="436"/>
        <v>6521095.71</v>
      </c>
      <c r="W833" s="209">
        <f t="shared" si="436"/>
        <v>0</v>
      </c>
      <c r="X833" s="209">
        <f t="shared" si="436"/>
        <v>0</v>
      </c>
      <c r="Y833" s="210">
        <f t="shared" si="436"/>
        <v>6521095.71</v>
      </c>
      <c r="Z833" s="211">
        <f t="shared" si="436"/>
        <v>6521095.71</v>
      </c>
      <c r="AA833" s="210">
        <f t="shared" si="436"/>
        <v>0</v>
      </c>
      <c r="AB833" s="210">
        <f t="shared" si="436"/>
        <v>6521095.71</v>
      </c>
    </row>
    <row r="834" spans="1:28" s="100" customFormat="1" ht="78" customHeight="1" x14ac:dyDescent="0.2">
      <c r="A834" s="212" t="s">
        <v>363</v>
      </c>
      <c r="B834" s="77" t="s">
        <v>375</v>
      </c>
      <c r="C834" s="59" t="s">
        <v>71</v>
      </c>
      <c r="D834" s="59" t="s">
        <v>86</v>
      </c>
      <c r="E834" s="104" t="s">
        <v>95</v>
      </c>
      <c r="F834" s="81" t="s">
        <v>135</v>
      </c>
      <c r="G834" s="66" t="s">
        <v>135</v>
      </c>
      <c r="H834" s="66" t="s">
        <v>135</v>
      </c>
      <c r="I834" s="81" t="s">
        <v>136</v>
      </c>
      <c r="J834" s="67" t="s">
        <v>135</v>
      </c>
      <c r="K834" s="292"/>
      <c r="L834" s="122"/>
      <c r="M834" s="122"/>
      <c r="N834" s="210">
        <f t="shared" si="436"/>
        <v>6521095.71</v>
      </c>
      <c r="O834" s="210">
        <f t="shared" si="436"/>
        <v>0</v>
      </c>
      <c r="P834" s="210">
        <f t="shared" si="436"/>
        <v>6864176.9100000001</v>
      </c>
      <c r="Q834" s="209">
        <f t="shared" si="436"/>
        <v>6521095.71</v>
      </c>
      <c r="R834" s="210">
        <f t="shared" si="436"/>
        <v>0</v>
      </c>
      <c r="S834" s="210">
        <f t="shared" si="436"/>
        <v>0</v>
      </c>
      <c r="T834" s="210">
        <f t="shared" si="436"/>
        <v>6864176.9100000001</v>
      </c>
      <c r="U834" s="211">
        <f t="shared" si="436"/>
        <v>6521095.71</v>
      </c>
      <c r="V834" s="210">
        <f t="shared" si="436"/>
        <v>6521095.71</v>
      </c>
      <c r="W834" s="209">
        <f t="shared" si="436"/>
        <v>0</v>
      </c>
      <c r="X834" s="209">
        <f t="shared" si="436"/>
        <v>0</v>
      </c>
      <c r="Y834" s="210">
        <f t="shared" si="436"/>
        <v>6521095.71</v>
      </c>
      <c r="Z834" s="211">
        <f t="shared" si="436"/>
        <v>6521095.71</v>
      </c>
      <c r="AA834" s="210">
        <f t="shared" si="436"/>
        <v>0</v>
      </c>
      <c r="AB834" s="210">
        <f t="shared" si="436"/>
        <v>6521095.71</v>
      </c>
    </row>
    <row r="835" spans="1:28" s="100" customFormat="1" ht="25.5" customHeight="1" x14ac:dyDescent="0.2">
      <c r="A835" s="212" t="s">
        <v>206</v>
      </c>
      <c r="B835" s="77" t="s">
        <v>375</v>
      </c>
      <c r="C835" s="58" t="s">
        <v>71</v>
      </c>
      <c r="D835" s="59" t="s">
        <v>86</v>
      </c>
      <c r="E835" s="66" t="s">
        <v>95</v>
      </c>
      <c r="F835" s="66" t="s">
        <v>135</v>
      </c>
      <c r="G835" s="66" t="s">
        <v>135</v>
      </c>
      <c r="H835" s="66" t="s">
        <v>135</v>
      </c>
      <c r="I835" s="66" t="s">
        <v>205</v>
      </c>
      <c r="J835" s="67" t="s">
        <v>202</v>
      </c>
      <c r="K835" s="309"/>
      <c r="L835" s="64">
        <f t="shared" ref="L835:AB836" si="437">L836</f>
        <v>9008886.6799999997</v>
      </c>
      <c r="M835" s="65">
        <f t="shared" si="437"/>
        <v>0</v>
      </c>
      <c r="N835" s="224">
        <f t="shared" si="437"/>
        <v>6521095.71</v>
      </c>
      <c r="O835" s="224">
        <f t="shared" si="437"/>
        <v>0</v>
      </c>
      <c r="P835" s="224">
        <f>P836+P839</f>
        <v>6864176.9100000001</v>
      </c>
      <c r="Q835" s="224">
        <f t="shared" ref="Q835:AB835" si="438">Q836+Q839</f>
        <v>6521095.71</v>
      </c>
      <c r="R835" s="224">
        <f t="shared" si="438"/>
        <v>0</v>
      </c>
      <c r="S835" s="224">
        <f t="shared" si="438"/>
        <v>0</v>
      </c>
      <c r="T835" s="224">
        <f t="shared" si="438"/>
        <v>6864176.9100000001</v>
      </c>
      <c r="U835" s="225">
        <f t="shared" si="438"/>
        <v>6521095.71</v>
      </c>
      <c r="V835" s="224">
        <f t="shared" si="438"/>
        <v>6521095.71</v>
      </c>
      <c r="W835" s="224">
        <f t="shared" si="438"/>
        <v>0</v>
      </c>
      <c r="X835" s="223">
        <f t="shared" si="438"/>
        <v>0</v>
      </c>
      <c r="Y835" s="224">
        <f t="shared" si="438"/>
        <v>6521095.71</v>
      </c>
      <c r="Z835" s="225">
        <f t="shared" si="438"/>
        <v>6521095.71</v>
      </c>
      <c r="AA835" s="224">
        <f t="shared" si="438"/>
        <v>0</v>
      </c>
      <c r="AB835" s="224">
        <f t="shared" si="438"/>
        <v>6521095.71</v>
      </c>
    </row>
    <row r="836" spans="1:28" s="100" customFormat="1" ht="25.5" customHeight="1" x14ac:dyDescent="0.2">
      <c r="A836" s="212" t="s">
        <v>52</v>
      </c>
      <c r="B836" s="77" t="s">
        <v>375</v>
      </c>
      <c r="C836" s="58" t="s">
        <v>71</v>
      </c>
      <c r="D836" s="59" t="s">
        <v>86</v>
      </c>
      <c r="E836" s="66" t="s">
        <v>95</v>
      </c>
      <c r="F836" s="66" t="s">
        <v>135</v>
      </c>
      <c r="G836" s="66" t="s">
        <v>135</v>
      </c>
      <c r="H836" s="66" t="s">
        <v>135</v>
      </c>
      <c r="I836" s="66" t="s">
        <v>205</v>
      </c>
      <c r="J836" s="67" t="s">
        <v>202</v>
      </c>
      <c r="K836" s="309" t="s">
        <v>53</v>
      </c>
      <c r="L836" s="64">
        <f t="shared" si="437"/>
        <v>9008886.6799999997</v>
      </c>
      <c r="M836" s="65">
        <f t="shared" si="437"/>
        <v>0</v>
      </c>
      <c r="N836" s="224">
        <f t="shared" si="437"/>
        <v>6521095.71</v>
      </c>
      <c r="O836" s="224">
        <f t="shared" si="437"/>
        <v>0</v>
      </c>
      <c r="P836" s="224">
        <f t="shared" si="437"/>
        <v>6864176.9100000001</v>
      </c>
      <c r="Q836" s="223">
        <f t="shared" si="437"/>
        <v>6521095.71</v>
      </c>
      <c r="R836" s="224">
        <f t="shared" si="437"/>
        <v>0</v>
      </c>
      <c r="S836" s="224">
        <f t="shared" si="437"/>
        <v>-7552.46</v>
      </c>
      <c r="T836" s="224">
        <f t="shared" si="437"/>
        <v>6856624.4500000002</v>
      </c>
      <c r="U836" s="225">
        <f t="shared" si="437"/>
        <v>6521095.71</v>
      </c>
      <c r="V836" s="224">
        <f t="shared" si="437"/>
        <v>6521095.71</v>
      </c>
      <c r="W836" s="223">
        <f t="shared" si="437"/>
        <v>0</v>
      </c>
      <c r="X836" s="223">
        <f t="shared" si="437"/>
        <v>0</v>
      </c>
      <c r="Y836" s="224">
        <f t="shared" si="437"/>
        <v>6521095.71</v>
      </c>
      <c r="Z836" s="225">
        <f t="shared" si="437"/>
        <v>6521095.71</v>
      </c>
      <c r="AA836" s="224">
        <f t="shared" si="437"/>
        <v>0</v>
      </c>
      <c r="AB836" s="224">
        <f t="shared" si="437"/>
        <v>6521095.71</v>
      </c>
    </row>
    <row r="837" spans="1:28" s="100" customFormat="1" ht="25.5" customHeight="1" x14ac:dyDescent="0.2">
      <c r="A837" s="212" t="s">
        <v>54</v>
      </c>
      <c r="B837" s="77" t="s">
        <v>375</v>
      </c>
      <c r="C837" s="58" t="s">
        <v>71</v>
      </c>
      <c r="D837" s="59" t="s">
        <v>86</v>
      </c>
      <c r="E837" s="66" t="s">
        <v>95</v>
      </c>
      <c r="F837" s="66" t="s">
        <v>135</v>
      </c>
      <c r="G837" s="66" t="s">
        <v>135</v>
      </c>
      <c r="H837" s="66" t="s">
        <v>135</v>
      </c>
      <c r="I837" s="66" t="s">
        <v>205</v>
      </c>
      <c r="J837" s="67" t="s">
        <v>202</v>
      </c>
      <c r="K837" s="309" t="s">
        <v>55</v>
      </c>
      <c r="L837" s="64">
        <v>9008886.6799999997</v>
      </c>
      <c r="M837" s="65">
        <v>0</v>
      </c>
      <c r="N837" s="224">
        <f>5034741.39+1486354.32</f>
        <v>6521095.71</v>
      </c>
      <c r="O837" s="224">
        <v>0</v>
      </c>
      <c r="P837" s="224">
        <v>6864176.9100000001</v>
      </c>
      <c r="Q837" s="223">
        <f>5034741.39+1486354.32</f>
        <v>6521095.71</v>
      </c>
      <c r="R837" s="224">
        <v>0</v>
      </c>
      <c r="S837" s="224">
        <v>-7552.46</v>
      </c>
      <c r="T837" s="224">
        <f>S837+P837</f>
        <v>6856624.4500000002</v>
      </c>
      <c r="U837" s="225">
        <f>5034741.39+1486354.32</f>
        <v>6521095.71</v>
      </c>
      <c r="V837" s="224">
        <f>5034741.39+1486354.32</f>
        <v>6521095.71</v>
      </c>
      <c r="W837" s="223">
        <v>0</v>
      </c>
      <c r="X837" s="223">
        <v>0</v>
      </c>
      <c r="Y837" s="224">
        <f>5034741.39+1486354.32</f>
        <v>6521095.71</v>
      </c>
      <c r="Z837" s="225">
        <f>5034741.39+1486354.32</f>
        <v>6521095.71</v>
      </c>
      <c r="AA837" s="224">
        <v>0</v>
      </c>
      <c r="AB837" s="224">
        <f>5034741.39+1486354.32</f>
        <v>6521095.71</v>
      </c>
    </row>
    <row r="838" spans="1:28" s="100" customFormat="1" ht="25.5" customHeight="1" x14ac:dyDescent="0.2">
      <c r="A838" s="212" t="s">
        <v>62</v>
      </c>
      <c r="B838" s="77" t="s">
        <v>375</v>
      </c>
      <c r="C838" s="58" t="s">
        <v>71</v>
      </c>
      <c r="D838" s="59" t="s">
        <v>86</v>
      </c>
      <c r="E838" s="66" t="s">
        <v>95</v>
      </c>
      <c r="F838" s="66" t="s">
        <v>135</v>
      </c>
      <c r="G838" s="66" t="s">
        <v>135</v>
      </c>
      <c r="H838" s="66" t="s">
        <v>135</v>
      </c>
      <c r="I838" s="66" t="s">
        <v>205</v>
      </c>
      <c r="J838" s="67" t="s">
        <v>202</v>
      </c>
      <c r="K838" s="309" t="s">
        <v>63</v>
      </c>
      <c r="L838" s="64"/>
      <c r="M838" s="65"/>
      <c r="N838" s="224"/>
      <c r="O838" s="224"/>
      <c r="P838" s="224">
        <f>P839</f>
        <v>0</v>
      </c>
      <c r="Q838" s="223"/>
      <c r="R838" s="224"/>
      <c r="S838" s="224">
        <f>S839</f>
        <v>7552.46</v>
      </c>
      <c r="T838" s="224">
        <f>T839</f>
        <v>7552.46</v>
      </c>
      <c r="U838" s="225">
        <f>U839</f>
        <v>0</v>
      </c>
      <c r="V838" s="223"/>
      <c r="W838" s="224"/>
      <c r="X838" s="223">
        <f>X839</f>
        <v>0</v>
      </c>
      <c r="Y838" s="224">
        <f>Y839</f>
        <v>0</v>
      </c>
      <c r="Z838" s="225">
        <f>Z839</f>
        <v>0</v>
      </c>
      <c r="AA838" s="225">
        <f>AA839</f>
        <v>0</v>
      </c>
      <c r="AB838" s="225">
        <f>AB839</f>
        <v>0</v>
      </c>
    </row>
    <row r="839" spans="1:28" s="100" customFormat="1" ht="25.5" customHeight="1" x14ac:dyDescent="0.2">
      <c r="A839" s="362" t="s">
        <v>64</v>
      </c>
      <c r="B839" s="77" t="s">
        <v>375</v>
      </c>
      <c r="C839" s="58" t="s">
        <v>71</v>
      </c>
      <c r="D839" s="59" t="s">
        <v>86</v>
      </c>
      <c r="E839" s="66" t="s">
        <v>95</v>
      </c>
      <c r="F839" s="66" t="s">
        <v>135</v>
      </c>
      <c r="G839" s="66" t="s">
        <v>135</v>
      </c>
      <c r="H839" s="66" t="s">
        <v>135</v>
      </c>
      <c r="I839" s="66" t="s">
        <v>205</v>
      </c>
      <c r="J839" s="67" t="s">
        <v>202</v>
      </c>
      <c r="K839" s="309" t="s">
        <v>65</v>
      </c>
      <c r="L839" s="64"/>
      <c r="M839" s="65"/>
      <c r="N839" s="224"/>
      <c r="O839" s="224"/>
      <c r="P839" s="224">
        <v>0</v>
      </c>
      <c r="Q839" s="223"/>
      <c r="R839" s="224"/>
      <c r="S839" s="224">
        <v>7552.46</v>
      </c>
      <c r="T839" s="224">
        <f>S839</f>
        <v>7552.46</v>
      </c>
      <c r="U839" s="225">
        <v>0</v>
      </c>
      <c r="V839" s="223"/>
      <c r="W839" s="224"/>
      <c r="X839" s="223">
        <v>0</v>
      </c>
      <c r="Y839" s="224">
        <v>0</v>
      </c>
      <c r="Z839" s="225">
        <v>0</v>
      </c>
      <c r="AA839" s="225">
        <v>0</v>
      </c>
      <c r="AB839" s="225">
        <v>0</v>
      </c>
    </row>
    <row r="840" spans="1:28" s="100" customFormat="1" ht="25.5" customHeight="1" x14ac:dyDescent="0.2">
      <c r="A840" s="212" t="s">
        <v>77</v>
      </c>
      <c r="B840" s="77" t="s">
        <v>375</v>
      </c>
      <c r="C840" s="58" t="s">
        <v>73</v>
      </c>
      <c r="D840" s="59"/>
      <c r="E840" s="66"/>
      <c r="F840" s="66"/>
      <c r="G840" s="66"/>
      <c r="H840" s="66"/>
      <c r="I840" s="66"/>
      <c r="J840" s="67"/>
      <c r="K840" s="309"/>
      <c r="L840" s="64"/>
      <c r="M840" s="65"/>
      <c r="N840" s="224"/>
      <c r="O840" s="224"/>
      <c r="P840" s="224">
        <f>P841</f>
        <v>0</v>
      </c>
      <c r="Q840" s="223"/>
      <c r="R840" s="224"/>
      <c r="S840" s="224">
        <f t="shared" ref="S840:U842" si="439">S841</f>
        <v>1626802.45</v>
      </c>
      <c r="T840" s="224">
        <f t="shared" si="439"/>
        <v>1626802.45</v>
      </c>
      <c r="U840" s="225">
        <f t="shared" si="439"/>
        <v>0</v>
      </c>
      <c r="V840" s="224"/>
      <c r="W840" s="223"/>
      <c r="X840" s="64">
        <f>X841</f>
        <v>0</v>
      </c>
      <c r="Y840" s="224">
        <f t="shared" ref="Y840:AB842" si="440">Y841</f>
        <v>0</v>
      </c>
      <c r="Z840" s="225">
        <f t="shared" si="440"/>
        <v>0</v>
      </c>
      <c r="AA840" s="225">
        <f t="shared" si="440"/>
        <v>0</v>
      </c>
      <c r="AB840" s="225">
        <f t="shared" si="440"/>
        <v>0</v>
      </c>
    </row>
    <row r="841" spans="1:28" s="100" customFormat="1" ht="25.5" customHeight="1" x14ac:dyDescent="0.2">
      <c r="A841" s="212" t="s">
        <v>163</v>
      </c>
      <c r="B841" s="77" t="s">
        <v>375</v>
      </c>
      <c r="C841" s="58" t="s">
        <v>73</v>
      </c>
      <c r="D841" s="59" t="s">
        <v>72</v>
      </c>
      <c r="E841" s="66"/>
      <c r="F841" s="66"/>
      <c r="G841" s="66"/>
      <c r="H841" s="66"/>
      <c r="I841" s="66"/>
      <c r="J841" s="67"/>
      <c r="K841" s="309"/>
      <c r="L841" s="64"/>
      <c r="M841" s="65"/>
      <c r="N841" s="224"/>
      <c r="O841" s="224"/>
      <c r="P841" s="224">
        <f>P842</f>
        <v>0</v>
      </c>
      <c r="Q841" s="223"/>
      <c r="R841" s="224"/>
      <c r="S841" s="224">
        <f t="shared" si="439"/>
        <v>1626802.45</v>
      </c>
      <c r="T841" s="224">
        <f t="shared" si="439"/>
        <v>1626802.45</v>
      </c>
      <c r="U841" s="225">
        <f t="shared" si="439"/>
        <v>0</v>
      </c>
      <c r="V841" s="224"/>
      <c r="W841" s="223"/>
      <c r="X841" s="64">
        <f>X842</f>
        <v>0</v>
      </c>
      <c r="Y841" s="224">
        <f t="shared" si="440"/>
        <v>0</v>
      </c>
      <c r="Z841" s="225">
        <f t="shared" si="440"/>
        <v>0</v>
      </c>
      <c r="AA841" s="225">
        <f t="shared" si="440"/>
        <v>0</v>
      </c>
      <c r="AB841" s="225">
        <f t="shared" si="440"/>
        <v>0</v>
      </c>
    </row>
    <row r="842" spans="1:28" s="100" customFormat="1" ht="36" customHeight="1" x14ac:dyDescent="0.2">
      <c r="A842" s="212" t="s">
        <v>331</v>
      </c>
      <c r="B842" s="77" t="s">
        <v>375</v>
      </c>
      <c r="C842" s="58" t="s">
        <v>73</v>
      </c>
      <c r="D842" s="58" t="s">
        <v>72</v>
      </c>
      <c r="E842" s="105" t="s">
        <v>267</v>
      </c>
      <c r="F842" s="70" t="s">
        <v>135</v>
      </c>
      <c r="G842" s="66" t="s">
        <v>135</v>
      </c>
      <c r="H842" s="66" t="s">
        <v>135</v>
      </c>
      <c r="I842" s="71" t="s">
        <v>136</v>
      </c>
      <c r="J842" s="67" t="s">
        <v>135</v>
      </c>
      <c r="K842" s="309"/>
      <c r="L842" s="64"/>
      <c r="M842" s="65"/>
      <c r="N842" s="224"/>
      <c r="O842" s="224"/>
      <c r="P842" s="224">
        <f>P843</f>
        <v>0</v>
      </c>
      <c r="Q842" s="223"/>
      <c r="R842" s="224"/>
      <c r="S842" s="224">
        <f t="shared" si="439"/>
        <v>1626802.45</v>
      </c>
      <c r="T842" s="224">
        <f t="shared" si="439"/>
        <v>1626802.45</v>
      </c>
      <c r="U842" s="225">
        <f t="shared" si="439"/>
        <v>0</v>
      </c>
      <c r="V842" s="224"/>
      <c r="W842" s="223"/>
      <c r="X842" s="64">
        <f>X843</f>
        <v>0</v>
      </c>
      <c r="Y842" s="224">
        <f t="shared" si="440"/>
        <v>0</v>
      </c>
      <c r="Z842" s="225">
        <f t="shared" si="440"/>
        <v>0</v>
      </c>
      <c r="AA842" s="225">
        <f t="shared" si="440"/>
        <v>0</v>
      </c>
      <c r="AB842" s="225">
        <f t="shared" si="440"/>
        <v>0</v>
      </c>
    </row>
    <row r="843" spans="1:28" s="100" customFormat="1" ht="59.25" customHeight="1" x14ac:dyDescent="0.2">
      <c r="A843" s="258" t="s">
        <v>433</v>
      </c>
      <c r="B843" s="77" t="s">
        <v>375</v>
      </c>
      <c r="C843" s="58" t="s">
        <v>73</v>
      </c>
      <c r="D843" s="59" t="s">
        <v>72</v>
      </c>
      <c r="E843" s="70" t="s">
        <v>267</v>
      </c>
      <c r="F843" s="70" t="s">
        <v>135</v>
      </c>
      <c r="G843" s="66" t="s">
        <v>425</v>
      </c>
      <c r="H843" s="66" t="s">
        <v>133</v>
      </c>
      <c r="I843" s="71" t="s">
        <v>426</v>
      </c>
      <c r="J843" s="67" t="s">
        <v>137</v>
      </c>
      <c r="K843" s="372"/>
      <c r="L843" s="68"/>
      <c r="M843" s="69"/>
      <c r="N843" s="216">
        <f t="shared" ref="N843:AB844" si="441">N844</f>
        <v>0</v>
      </c>
      <c r="O843" s="216">
        <f t="shared" si="441"/>
        <v>0</v>
      </c>
      <c r="P843" s="216">
        <f t="shared" si="441"/>
        <v>0</v>
      </c>
      <c r="Q843" s="215">
        <f t="shared" si="441"/>
        <v>466722.6</v>
      </c>
      <c r="R843" s="216">
        <f t="shared" si="441"/>
        <v>0</v>
      </c>
      <c r="S843" s="216">
        <f t="shared" si="441"/>
        <v>1626802.45</v>
      </c>
      <c r="T843" s="216">
        <f t="shared" si="441"/>
        <v>1626802.45</v>
      </c>
      <c r="U843" s="217">
        <f t="shared" si="441"/>
        <v>0</v>
      </c>
      <c r="V843" s="215">
        <f t="shared" si="441"/>
        <v>466722.6</v>
      </c>
      <c r="W843" s="216">
        <f t="shared" si="441"/>
        <v>0</v>
      </c>
      <c r="X843" s="215">
        <f t="shared" si="441"/>
        <v>0</v>
      </c>
      <c r="Y843" s="216">
        <f t="shared" si="441"/>
        <v>0</v>
      </c>
      <c r="Z843" s="217">
        <f t="shared" si="441"/>
        <v>0</v>
      </c>
      <c r="AA843" s="216">
        <f t="shared" si="441"/>
        <v>0</v>
      </c>
      <c r="AB843" s="216">
        <f t="shared" si="441"/>
        <v>0</v>
      </c>
    </row>
    <row r="844" spans="1:28" s="100" customFormat="1" ht="35.25" customHeight="1" x14ac:dyDescent="0.2">
      <c r="A844" s="212" t="s">
        <v>52</v>
      </c>
      <c r="B844" s="77" t="s">
        <v>375</v>
      </c>
      <c r="C844" s="58" t="s">
        <v>73</v>
      </c>
      <c r="D844" s="59" t="s">
        <v>72</v>
      </c>
      <c r="E844" s="70" t="s">
        <v>267</v>
      </c>
      <c r="F844" s="70" t="s">
        <v>135</v>
      </c>
      <c r="G844" s="66" t="s">
        <v>425</v>
      </c>
      <c r="H844" s="66" t="s">
        <v>133</v>
      </c>
      <c r="I844" s="71" t="s">
        <v>426</v>
      </c>
      <c r="J844" s="67" t="s">
        <v>137</v>
      </c>
      <c r="K844" s="372" t="s">
        <v>53</v>
      </c>
      <c r="L844" s="68"/>
      <c r="M844" s="69"/>
      <c r="N844" s="216">
        <f t="shared" si="441"/>
        <v>0</v>
      </c>
      <c r="O844" s="216">
        <f t="shared" si="441"/>
        <v>0</v>
      </c>
      <c r="P844" s="216">
        <f t="shared" si="441"/>
        <v>0</v>
      </c>
      <c r="Q844" s="215">
        <f t="shared" si="441"/>
        <v>466722.6</v>
      </c>
      <c r="R844" s="216">
        <f t="shared" si="441"/>
        <v>0</v>
      </c>
      <c r="S844" s="216">
        <f t="shared" si="441"/>
        <v>1626802.45</v>
      </c>
      <c r="T844" s="216">
        <f t="shared" si="441"/>
        <v>1626802.45</v>
      </c>
      <c r="U844" s="217">
        <f t="shared" si="441"/>
        <v>0</v>
      </c>
      <c r="V844" s="215">
        <f t="shared" si="441"/>
        <v>466722.6</v>
      </c>
      <c r="W844" s="216">
        <f t="shared" si="441"/>
        <v>0</v>
      </c>
      <c r="X844" s="215">
        <f t="shared" si="441"/>
        <v>0</v>
      </c>
      <c r="Y844" s="216">
        <f t="shared" si="441"/>
        <v>0</v>
      </c>
      <c r="Z844" s="217">
        <f t="shared" si="441"/>
        <v>0</v>
      </c>
      <c r="AA844" s="216">
        <f t="shared" si="441"/>
        <v>0</v>
      </c>
      <c r="AB844" s="216">
        <f t="shared" si="441"/>
        <v>0</v>
      </c>
    </row>
    <row r="845" spans="1:28" s="100" customFormat="1" ht="25.5" customHeight="1" x14ac:dyDescent="0.2">
      <c r="A845" s="212" t="s">
        <v>54</v>
      </c>
      <c r="B845" s="77" t="s">
        <v>375</v>
      </c>
      <c r="C845" s="58" t="s">
        <v>73</v>
      </c>
      <c r="D845" s="59" t="s">
        <v>72</v>
      </c>
      <c r="E845" s="70" t="s">
        <v>267</v>
      </c>
      <c r="F845" s="70" t="s">
        <v>135</v>
      </c>
      <c r="G845" s="66" t="s">
        <v>425</v>
      </c>
      <c r="H845" s="66" t="s">
        <v>133</v>
      </c>
      <c r="I845" s="71" t="s">
        <v>426</v>
      </c>
      <c r="J845" s="67" t="s">
        <v>137</v>
      </c>
      <c r="K845" s="372" t="s">
        <v>55</v>
      </c>
      <c r="L845" s="68"/>
      <c r="M845" s="69"/>
      <c r="N845" s="216">
        <v>0</v>
      </c>
      <c r="O845" s="216">
        <v>0</v>
      </c>
      <c r="P845" s="216">
        <v>0</v>
      </c>
      <c r="Q845" s="215">
        <f>466722.6</f>
        <v>466722.6</v>
      </c>
      <c r="R845" s="216">
        <v>0</v>
      </c>
      <c r="S845" s="216">
        <v>1626802.45</v>
      </c>
      <c r="T845" s="216">
        <f>S845+P845</f>
        <v>1626802.45</v>
      </c>
      <c r="U845" s="217">
        <v>0</v>
      </c>
      <c r="V845" s="215">
        <f>466722.6</f>
        <v>466722.6</v>
      </c>
      <c r="W845" s="216">
        <v>0</v>
      </c>
      <c r="X845" s="215">
        <v>0</v>
      </c>
      <c r="Y845" s="216">
        <v>0</v>
      </c>
      <c r="Z845" s="217">
        <v>0</v>
      </c>
      <c r="AA845" s="216">
        <v>0</v>
      </c>
      <c r="AB845" s="216">
        <v>0</v>
      </c>
    </row>
    <row r="846" spans="1:28" s="100" customFormat="1" ht="25.5" customHeight="1" x14ac:dyDescent="0.2">
      <c r="A846" s="400" t="s">
        <v>124</v>
      </c>
      <c r="B846" s="77" t="s">
        <v>375</v>
      </c>
      <c r="C846" s="77" t="s">
        <v>95</v>
      </c>
      <c r="D846" s="78"/>
      <c r="E846" s="79"/>
      <c r="F846" s="79"/>
      <c r="G846" s="66"/>
      <c r="H846" s="66"/>
      <c r="I846" s="79"/>
      <c r="J846" s="80"/>
      <c r="K846" s="291"/>
      <c r="L846" s="64" t="e">
        <f>L847+#REF!</f>
        <v>#REF!</v>
      </c>
      <c r="M846" s="65" t="e">
        <f>M847+#REF!</f>
        <v>#REF!</v>
      </c>
      <c r="N846" s="224">
        <f t="shared" ref="N846:Z846" si="442">N847+N852</f>
        <v>0</v>
      </c>
      <c r="O846" s="224">
        <f t="shared" si="442"/>
        <v>0</v>
      </c>
      <c r="P846" s="224">
        <f t="shared" si="442"/>
        <v>0</v>
      </c>
      <c r="Q846" s="223">
        <f t="shared" si="442"/>
        <v>208000</v>
      </c>
      <c r="R846" s="224">
        <f t="shared" si="442"/>
        <v>0</v>
      </c>
      <c r="S846" s="224">
        <f>S847+S852</f>
        <v>0</v>
      </c>
      <c r="T846" s="224">
        <f>T847+T852</f>
        <v>0</v>
      </c>
      <c r="U846" s="225">
        <f t="shared" si="442"/>
        <v>208000</v>
      </c>
      <c r="V846" s="224">
        <f t="shared" si="442"/>
        <v>213500</v>
      </c>
      <c r="W846" s="223">
        <f t="shared" si="442"/>
        <v>0</v>
      </c>
      <c r="X846" s="223">
        <f>X847+X852</f>
        <v>0</v>
      </c>
      <c r="Y846" s="224">
        <f>Y847+Y852</f>
        <v>208000</v>
      </c>
      <c r="Z846" s="225">
        <f t="shared" si="442"/>
        <v>213500</v>
      </c>
      <c r="AA846" s="224">
        <f>AA847+AA852</f>
        <v>0</v>
      </c>
      <c r="AB846" s="224">
        <f>AB847+AB852</f>
        <v>213500</v>
      </c>
    </row>
    <row r="847" spans="1:28" s="100" customFormat="1" ht="25.5" customHeight="1" x14ac:dyDescent="0.2">
      <c r="A847" s="400" t="s">
        <v>123</v>
      </c>
      <c r="B847" s="77" t="s">
        <v>375</v>
      </c>
      <c r="C847" s="58" t="s">
        <v>95</v>
      </c>
      <c r="D847" s="59" t="s">
        <v>69</v>
      </c>
      <c r="E847" s="60"/>
      <c r="F847" s="60"/>
      <c r="G847" s="66"/>
      <c r="H847" s="66"/>
      <c r="I847" s="60"/>
      <c r="J847" s="76"/>
      <c r="K847" s="408"/>
      <c r="L847" s="64" t="e">
        <f t="shared" ref="L847:AB850" si="443">L848</f>
        <v>#REF!</v>
      </c>
      <c r="M847" s="65" t="e">
        <f t="shared" si="443"/>
        <v>#REF!</v>
      </c>
      <c r="N847" s="224">
        <f t="shared" si="443"/>
        <v>0</v>
      </c>
      <c r="O847" s="224">
        <f t="shared" si="443"/>
        <v>0</v>
      </c>
      <c r="P847" s="224">
        <f t="shared" si="443"/>
        <v>0</v>
      </c>
      <c r="Q847" s="64">
        <f t="shared" si="443"/>
        <v>163500</v>
      </c>
      <c r="R847" s="224">
        <f t="shared" si="443"/>
        <v>0</v>
      </c>
      <c r="S847" s="224">
        <f t="shared" si="443"/>
        <v>0</v>
      </c>
      <c r="T847" s="224">
        <f t="shared" si="443"/>
        <v>0</v>
      </c>
      <c r="U847" s="64">
        <f t="shared" si="443"/>
        <v>163500</v>
      </c>
      <c r="V847" s="224">
        <f t="shared" si="443"/>
        <v>169000</v>
      </c>
      <c r="W847" s="223">
        <f t="shared" si="443"/>
        <v>0</v>
      </c>
      <c r="X847" s="223">
        <f t="shared" si="443"/>
        <v>0</v>
      </c>
      <c r="Y847" s="224">
        <f t="shared" si="443"/>
        <v>163500</v>
      </c>
      <c r="Z847" s="225">
        <f t="shared" si="443"/>
        <v>169000</v>
      </c>
      <c r="AA847" s="224">
        <f t="shared" si="443"/>
        <v>0</v>
      </c>
      <c r="AB847" s="224">
        <f t="shared" si="443"/>
        <v>169000</v>
      </c>
    </row>
    <row r="848" spans="1:28" s="100" customFormat="1" ht="25.5" customHeight="1" x14ac:dyDescent="0.2">
      <c r="A848" s="226" t="s">
        <v>364</v>
      </c>
      <c r="B848" s="77" t="s">
        <v>375</v>
      </c>
      <c r="C848" s="58" t="s">
        <v>95</v>
      </c>
      <c r="D848" s="59" t="s">
        <v>69</v>
      </c>
      <c r="E848" s="81" t="s">
        <v>184</v>
      </c>
      <c r="F848" s="81" t="s">
        <v>135</v>
      </c>
      <c r="G848" s="66" t="s">
        <v>135</v>
      </c>
      <c r="H848" s="66" t="s">
        <v>135</v>
      </c>
      <c r="I848" s="81" t="s">
        <v>136</v>
      </c>
      <c r="J848" s="67" t="s">
        <v>135</v>
      </c>
      <c r="K848" s="292"/>
      <c r="L848" s="68" t="e">
        <f t="shared" si="443"/>
        <v>#REF!</v>
      </c>
      <c r="M848" s="69" t="e">
        <f t="shared" si="443"/>
        <v>#REF!</v>
      </c>
      <c r="N848" s="216">
        <f t="shared" si="443"/>
        <v>0</v>
      </c>
      <c r="O848" s="216">
        <f t="shared" si="443"/>
        <v>0</v>
      </c>
      <c r="P848" s="216">
        <f t="shared" si="443"/>
        <v>0</v>
      </c>
      <c r="Q848" s="68">
        <f t="shared" si="443"/>
        <v>163500</v>
      </c>
      <c r="R848" s="216">
        <f t="shared" si="443"/>
        <v>0</v>
      </c>
      <c r="S848" s="216">
        <f t="shared" si="443"/>
        <v>0</v>
      </c>
      <c r="T848" s="216">
        <f t="shared" si="443"/>
        <v>0</v>
      </c>
      <c r="U848" s="68">
        <f t="shared" si="443"/>
        <v>163500</v>
      </c>
      <c r="V848" s="216">
        <f t="shared" si="443"/>
        <v>169000</v>
      </c>
      <c r="W848" s="215">
        <f t="shared" si="443"/>
        <v>0</v>
      </c>
      <c r="X848" s="215">
        <f t="shared" si="443"/>
        <v>0</v>
      </c>
      <c r="Y848" s="216">
        <f t="shared" si="443"/>
        <v>163500</v>
      </c>
      <c r="Z848" s="217">
        <f t="shared" si="443"/>
        <v>169000</v>
      </c>
      <c r="AA848" s="216">
        <f t="shared" si="443"/>
        <v>0</v>
      </c>
      <c r="AB848" s="216">
        <f t="shared" si="443"/>
        <v>169000</v>
      </c>
    </row>
    <row r="849" spans="1:28" s="100" customFormat="1" ht="25.5" customHeight="1" x14ac:dyDescent="0.2">
      <c r="A849" s="212" t="s">
        <v>49</v>
      </c>
      <c r="B849" s="77" t="s">
        <v>375</v>
      </c>
      <c r="C849" s="58" t="s">
        <v>95</v>
      </c>
      <c r="D849" s="59" t="s">
        <v>69</v>
      </c>
      <c r="E849" s="66" t="s">
        <v>184</v>
      </c>
      <c r="F849" s="66" t="s">
        <v>135</v>
      </c>
      <c r="G849" s="66" t="s">
        <v>135</v>
      </c>
      <c r="H849" s="66" t="s">
        <v>135</v>
      </c>
      <c r="I849" s="66" t="s">
        <v>18</v>
      </c>
      <c r="J849" s="67" t="s">
        <v>135</v>
      </c>
      <c r="K849" s="309"/>
      <c r="L849" s="68" t="e">
        <f>L850+#REF!</f>
        <v>#REF!</v>
      </c>
      <c r="M849" s="69" t="e">
        <f>M850+#REF!</f>
        <v>#REF!</v>
      </c>
      <c r="N849" s="216">
        <f t="shared" si="443"/>
        <v>0</v>
      </c>
      <c r="O849" s="216">
        <f t="shared" si="443"/>
        <v>0</v>
      </c>
      <c r="P849" s="216">
        <f t="shared" si="443"/>
        <v>0</v>
      </c>
      <c r="Q849" s="215">
        <f t="shared" si="443"/>
        <v>163500</v>
      </c>
      <c r="R849" s="216">
        <f t="shared" si="443"/>
        <v>0</v>
      </c>
      <c r="S849" s="216">
        <f t="shared" si="443"/>
        <v>0</v>
      </c>
      <c r="T849" s="216">
        <f t="shared" si="443"/>
        <v>0</v>
      </c>
      <c r="U849" s="217">
        <f t="shared" si="443"/>
        <v>163500</v>
      </c>
      <c r="V849" s="217">
        <f t="shared" si="443"/>
        <v>169000</v>
      </c>
      <c r="W849" s="68">
        <f t="shared" si="443"/>
        <v>0</v>
      </c>
      <c r="X849" s="215">
        <f t="shared" si="443"/>
        <v>0</v>
      </c>
      <c r="Y849" s="216">
        <f t="shared" si="443"/>
        <v>163500</v>
      </c>
      <c r="Z849" s="217">
        <f t="shared" si="443"/>
        <v>169000</v>
      </c>
      <c r="AA849" s="217">
        <f t="shared" si="443"/>
        <v>0</v>
      </c>
      <c r="AB849" s="217">
        <f t="shared" si="443"/>
        <v>169000</v>
      </c>
    </row>
    <row r="850" spans="1:28" s="100" customFormat="1" ht="25.5" customHeight="1" x14ac:dyDescent="0.2">
      <c r="A850" s="212" t="s">
        <v>52</v>
      </c>
      <c r="B850" s="77" t="s">
        <v>375</v>
      </c>
      <c r="C850" s="58" t="s">
        <v>95</v>
      </c>
      <c r="D850" s="59" t="s">
        <v>69</v>
      </c>
      <c r="E850" s="66" t="s">
        <v>184</v>
      </c>
      <c r="F850" s="66" t="s">
        <v>135</v>
      </c>
      <c r="G850" s="66" t="s">
        <v>135</v>
      </c>
      <c r="H850" s="66" t="s">
        <v>135</v>
      </c>
      <c r="I850" s="66" t="s">
        <v>18</v>
      </c>
      <c r="J850" s="67" t="s">
        <v>135</v>
      </c>
      <c r="K850" s="309" t="s">
        <v>53</v>
      </c>
      <c r="L850" s="68">
        <f>L851</f>
        <v>640872</v>
      </c>
      <c r="M850" s="69">
        <f>M851</f>
        <v>0</v>
      </c>
      <c r="N850" s="216">
        <f t="shared" si="443"/>
        <v>0</v>
      </c>
      <c r="O850" s="216">
        <f t="shared" si="443"/>
        <v>0</v>
      </c>
      <c r="P850" s="216">
        <f t="shared" si="443"/>
        <v>0</v>
      </c>
      <c r="Q850" s="215">
        <f t="shared" si="443"/>
        <v>163500</v>
      </c>
      <c r="R850" s="216">
        <f t="shared" si="443"/>
        <v>0</v>
      </c>
      <c r="S850" s="216">
        <f t="shared" si="443"/>
        <v>0</v>
      </c>
      <c r="T850" s="216">
        <f t="shared" si="443"/>
        <v>0</v>
      </c>
      <c r="U850" s="217">
        <f t="shared" si="443"/>
        <v>163500</v>
      </c>
      <c r="V850" s="217">
        <f t="shared" si="443"/>
        <v>169000</v>
      </c>
      <c r="W850" s="68">
        <f t="shared" si="443"/>
        <v>0</v>
      </c>
      <c r="X850" s="215">
        <f t="shared" si="443"/>
        <v>0</v>
      </c>
      <c r="Y850" s="216">
        <f t="shared" si="443"/>
        <v>163500</v>
      </c>
      <c r="Z850" s="217">
        <f t="shared" si="443"/>
        <v>169000</v>
      </c>
      <c r="AA850" s="217">
        <f t="shared" si="443"/>
        <v>0</v>
      </c>
      <c r="AB850" s="217">
        <f t="shared" si="443"/>
        <v>169000</v>
      </c>
    </row>
    <row r="851" spans="1:28" s="100" customFormat="1" ht="25.5" customHeight="1" x14ac:dyDescent="0.2">
      <c r="A851" s="212" t="s">
        <v>54</v>
      </c>
      <c r="B851" s="77" t="s">
        <v>375</v>
      </c>
      <c r="C851" s="58" t="s">
        <v>95</v>
      </c>
      <c r="D851" s="59" t="s">
        <v>69</v>
      </c>
      <c r="E851" s="66" t="s">
        <v>184</v>
      </c>
      <c r="F851" s="66" t="s">
        <v>135</v>
      </c>
      <c r="G851" s="66" t="s">
        <v>135</v>
      </c>
      <c r="H851" s="66" t="s">
        <v>135</v>
      </c>
      <c r="I851" s="66" t="s">
        <v>18</v>
      </c>
      <c r="J851" s="67" t="s">
        <v>135</v>
      </c>
      <c r="K851" s="309" t="s">
        <v>55</v>
      </c>
      <c r="L851" s="68">
        <v>640872</v>
      </c>
      <c r="M851" s="69">
        <v>0</v>
      </c>
      <c r="N851" s="216">
        <v>0</v>
      </c>
      <c r="O851" s="216">
        <v>0</v>
      </c>
      <c r="P851" s="216">
        <v>0</v>
      </c>
      <c r="Q851" s="215">
        <f>149500+14000</f>
        <v>163500</v>
      </c>
      <c r="R851" s="216">
        <v>0</v>
      </c>
      <c r="S851" s="216">
        <v>0</v>
      </c>
      <c r="T851" s="216">
        <v>0</v>
      </c>
      <c r="U851" s="217">
        <f>149500+14000</f>
        <v>163500</v>
      </c>
      <c r="V851" s="68">
        <f>149500+19500</f>
        <v>169000</v>
      </c>
      <c r="W851" s="68">
        <v>0</v>
      </c>
      <c r="X851" s="215">
        <v>0</v>
      </c>
      <c r="Y851" s="216">
        <f>149500+14000</f>
        <v>163500</v>
      </c>
      <c r="Z851" s="217">
        <f>149500+19500</f>
        <v>169000</v>
      </c>
      <c r="AA851" s="217">
        <v>0</v>
      </c>
      <c r="AB851" s="217">
        <f>149500+19500</f>
        <v>169000</v>
      </c>
    </row>
    <row r="852" spans="1:28" s="100" customFormat="1" ht="25.5" customHeight="1" x14ac:dyDescent="0.2">
      <c r="A852" s="400" t="s">
        <v>190</v>
      </c>
      <c r="B852" s="77" t="s">
        <v>375</v>
      </c>
      <c r="C852" s="58" t="s">
        <v>95</v>
      </c>
      <c r="D852" s="59" t="s">
        <v>73</v>
      </c>
      <c r="E852" s="60"/>
      <c r="F852" s="60"/>
      <c r="G852" s="66"/>
      <c r="H852" s="66"/>
      <c r="I852" s="60"/>
      <c r="J852" s="76"/>
      <c r="K852" s="408"/>
      <c r="L852" s="68">
        <f t="shared" ref="L852:AB855" si="444">L853</f>
        <v>263500</v>
      </c>
      <c r="M852" s="69">
        <f t="shared" si="444"/>
        <v>0</v>
      </c>
      <c r="N852" s="216">
        <f t="shared" si="444"/>
        <v>0</v>
      </c>
      <c r="O852" s="216">
        <f t="shared" si="444"/>
        <v>0</v>
      </c>
      <c r="P852" s="216">
        <f t="shared" si="444"/>
        <v>0</v>
      </c>
      <c r="Q852" s="215">
        <f t="shared" si="444"/>
        <v>44500</v>
      </c>
      <c r="R852" s="216">
        <f t="shared" si="444"/>
        <v>0</v>
      </c>
      <c r="S852" s="216">
        <f t="shared" si="444"/>
        <v>0</v>
      </c>
      <c r="T852" s="216">
        <f t="shared" si="444"/>
        <v>0</v>
      </c>
      <c r="U852" s="217">
        <f t="shared" si="444"/>
        <v>44500</v>
      </c>
      <c r="V852" s="217">
        <f t="shared" si="444"/>
        <v>44500</v>
      </c>
      <c r="W852" s="68">
        <f t="shared" si="444"/>
        <v>0</v>
      </c>
      <c r="X852" s="215">
        <f t="shared" si="444"/>
        <v>0</v>
      </c>
      <c r="Y852" s="216">
        <f t="shared" si="444"/>
        <v>44500</v>
      </c>
      <c r="Z852" s="217">
        <f t="shared" si="444"/>
        <v>44500</v>
      </c>
      <c r="AA852" s="217">
        <f t="shared" si="444"/>
        <v>0</v>
      </c>
      <c r="AB852" s="217">
        <f t="shared" si="444"/>
        <v>44500</v>
      </c>
    </row>
    <row r="853" spans="1:28" s="100" customFormat="1" ht="25.5" customHeight="1" x14ac:dyDescent="0.2">
      <c r="A853" s="226" t="s">
        <v>364</v>
      </c>
      <c r="B853" s="77" t="s">
        <v>375</v>
      </c>
      <c r="C853" s="58" t="s">
        <v>95</v>
      </c>
      <c r="D853" s="59" t="s">
        <v>73</v>
      </c>
      <c r="E853" s="81" t="s">
        <v>184</v>
      </c>
      <c r="F853" s="81" t="s">
        <v>135</v>
      </c>
      <c r="G853" s="66" t="s">
        <v>135</v>
      </c>
      <c r="H853" s="66" t="s">
        <v>135</v>
      </c>
      <c r="I853" s="81" t="s">
        <v>136</v>
      </c>
      <c r="J853" s="67" t="s">
        <v>135</v>
      </c>
      <c r="K853" s="292"/>
      <c r="L853" s="68">
        <f t="shared" si="444"/>
        <v>263500</v>
      </c>
      <c r="M853" s="69">
        <f t="shared" si="444"/>
        <v>0</v>
      </c>
      <c r="N853" s="216">
        <f t="shared" si="444"/>
        <v>0</v>
      </c>
      <c r="O853" s="216">
        <f t="shared" si="444"/>
        <v>0</v>
      </c>
      <c r="P853" s="216">
        <f t="shared" si="444"/>
        <v>0</v>
      </c>
      <c r="Q853" s="68">
        <f t="shared" si="444"/>
        <v>44500</v>
      </c>
      <c r="R853" s="216">
        <f t="shared" si="444"/>
        <v>0</v>
      </c>
      <c r="S853" s="216">
        <f t="shared" si="444"/>
        <v>0</v>
      </c>
      <c r="T853" s="216">
        <f t="shared" si="444"/>
        <v>0</v>
      </c>
      <c r="U853" s="68">
        <f t="shared" si="444"/>
        <v>44500</v>
      </c>
      <c r="V853" s="216">
        <f t="shared" si="444"/>
        <v>44500</v>
      </c>
      <c r="W853" s="215">
        <f t="shared" si="444"/>
        <v>0</v>
      </c>
      <c r="X853" s="215">
        <f t="shared" si="444"/>
        <v>0</v>
      </c>
      <c r="Y853" s="216">
        <f t="shared" si="444"/>
        <v>44500</v>
      </c>
      <c r="Z853" s="217">
        <f t="shared" si="444"/>
        <v>44500</v>
      </c>
      <c r="AA853" s="216">
        <f t="shared" si="444"/>
        <v>0</v>
      </c>
      <c r="AB853" s="216">
        <f t="shared" si="444"/>
        <v>44500</v>
      </c>
    </row>
    <row r="854" spans="1:28" s="100" customFormat="1" ht="25.5" customHeight="1" x14ac:dyDescent="0.2">
      <c r="A854" s="212" t="s">
        <v>49</v>
      </c>
      <c r="B854" s="77" t="s">
        <v>375</v>
      </c>
      <c r="C854" s="58" t="s">
        <v>95</v>
      </c>
      <c r="D854" s="59" t="s">
        <v>73</v>
      </c>
      <c r="E854" s="66" t="s">
        <v>184</v>
      </c>
      <c r="F854" s="66" t="s">
        <v>135</v>
      </c>
      <c r="G854" s="66" t="s">
        <v>135</v>
      </c>
      <c r="H854" s="66" t="s">
        <v>135</v>
      </c>
      <c r="I854" s="66" t="s">
        <v>18</v>
      </c>
      <c r="J854" s="67" t="s">
        <v>135</v>
      </c>
      <c r="K854" s="309"/>
      <c r="L854" s="68">
        <f t="shared" si="444"/>
        <v>263500</v>
      </c>
      <c r="M854" s="69">
        <f t="shared" si="444"/>
        <v>0</v>
      </c>
      <c r="N854" s="216">
        <f t="shared" si="444"/>
        <v>0</v>
      </c>
      <c r="O854" s="216">
        <f t="shared" si="444"/>
        <v>0</v>
      </c>
      <c r="P854" s="216">
        <f t="shared" si="444"/>
        <v>0</v>
      </c>
      <c r="Q854" s="68">
        <f t="shared" si="444"/>
        <v>44500</v>
      </c>
      <c r="R854" s="216">
        <f t="shared" si="444"/>
        <v>0</v>
      </c>
      <c r="S854" s="216">
        <f t="shared" si="444"/>
        <v>0</v>
      </c>
      <c r="T854" s="216">
        <f t="shared" si="444"/>
        <v>0</v>
      </c>
      <c r="U854" s="68">
        <f t="shared" si="444"/>
        <v>44500</v>
      </c>
      <c r="V854" s="216">
        <f t="shared" si="444"/>
        <v>44500</v>
      </c>
      <c r="W854" s="215">
        <f t="shared" si="444"/>
        <v>0</v>
      </c>
      <c r="X854" s="215">
        <f t="shared" si="444"/>
        <v>0</v>
      </c>
      <c r="Y854" s="216">
        <f t="shared" si="444"/>
        <v>44500</v>
      </c>
      <c r="Z854" s="217">
        <f t="shared" si="444"/>
        <v>44500</v>
      </c>
      <c r="AA854" s="216">
        <f t="shared" si="444"/>
        <v>0</v>
      </c>
      <c r="AB854" s="216">
        <f t="shared" si="444"/>
        <v>44500</v>
      </c>
    </row>
    <row r="855" spans="1:28" s="100" customFormat="1" ht="25.5" customHeight="1" x14ac:dyDescent="0.2">
      <c r="A855" s="212" t="s">
        <v>67</v>
      </c>
      <c r="B855" s="77" t="s">
        <v>375</v>
      </c>
      <c r="C855" s="58" t="s">
        <v>95</v>
      </c>
      <c r="D855" s="59" t="s">
        <v>73</v>
      </c>
      <c r="E855" s="66" t="s">
        <v>184</v>
      </c>
      <c r="F855" s="66" t="s">
        <v>135</v>
      </c>
      <c r="G855" s="66" t="s">
        <v>135</v>
      </c>
      <c r="H855" s="66" t="s">
        <v>135</v>
      </c>
      <c r="I855" s="66" t="s">
        <v>18</v>
      </c>
      <c r="J855" s="67" t="s">
        <v>135</v>
      </c>
      <c r="K855" s="309" t="s">
        <v>60</v>
      </c>
      <c r="L855" s="68">
        <f t="shared" si="444"/>
        <v>263500</v>
      </c>
      <c r="M855" s="69">
        <f t="shared" si="444"/>
        <v>0</v>
      </c>
      <c r="N855" s="216">
        <f t="shared" si="444"/>
        <v>0</v>
      </c>
      <c r="O855" s="216">
        <f t="shared" si="444"/>
        <v>0</v>
      </c>
      <c r="P855" s="216">
        <f t="shared" si="444"/>
        <v>0</v>
      </c>
      <c r="Q855" s="68">
        <f t="shared" si="444"/>
        <v>44500</v>
      </c>
      <c r="R855" s="216">
        <f t="shared" si="444"/>
        <v>0</v>
      </c>
      <c r="S855" s="216">
        <f t="shared" si="444"/>
        <v>0</v>
      </c>
      <c r="T855" s="216">
        <f t="shared" si="444"/>
        <v>0</v>
      </c>
      <c r="U855" s="68">
        <f t="shared" si="444"/>
        <v>44500</v>
      </c>
      <c r="V855" s="216">
        <f t="shared" si="444"/>
        <v>44500</v>
      </c>
      <c r="W855" s="215">
        <f t="shared" si="444"/>
        <v>0</v>
      </c>
      <c r="X855" s="215">
        <f t="shared" si="444"/>
        <v>0</v>
      </c>
      <c r="Y855" s="216">
        <f t="shared" si="444"/>
        <v>44500</v>
      </c>
      <c r="Z855" s="217">
        <f t="shared" si="444"/>
        <v>44500</v>
      </c>
      <c r="AA855" s="216">
        <f t="shared" si="444"/>
        <v>0</v>
      </c>
      <c r="AB855" s="216">
        <f t="shared" si="444"/>
        <v>44500</v>
      </c>
    </row>
    <row r="856" spans="1:28" s="100" customFormat="1" ht="25.5" customHeight="1" x14ac:dyDescent="0.2">
      <c r="A856" s="280" t="s">
        <v>61</v>
      </c>
      <c r="B856" s="85" t="s">
        <v>375</v>
      </c>
      <c r="C856" s="128" t="s">
        <v>95</v>
      </c>
      <c r="D856" s="127" t="s">
        <v>73</v>
      </c>
      <c r="E856" s="88" t="s">
        <v>184</v>
      </c>
      <c r="F856" s="88" t="s">
        <v>135</v>
      </c>
      <c r="G856" s="88" t="s">
        <v>135</v>
      </c>
      <c r="H856" s="88" t="s">
        <v>135</v>
      </c>
      <c r="I856" s="88" t="s">
        <v>18</v>
      </c>
      <c r="J856" s="90" t="s">
        <v>135</v>
      </c>
      <c r="K856" s="306" t="s">
        <v>171</v>
      </c>
      <c r="L856" s="91">
        <v>263500</v>
      </c>
      <c r="M856" s="92">
        <v>0</v>
      </c>
      <c r="N856" s="327">
        <v>0</v>
      </c>
      <c r="O856" s="327">
        <v>0</v>
      </c>
      <c r="P856" s="327">
        <v>0</v>
      </c>
      <c r="Q856" s="91">
        <v>44500</v>
      </c>
      <c r="R856" s="327">
        <v>0</v>
      </c>
      <c r="S856" s="327">
        <v>0</v>
      </c>
      <c r="T856" s="327">
        <v>0</v>
      </c>
      <c r="U856" s="91">
        <v>44500</v>
      </c>
      <c r="V856" s="327">
        <v>44500</v>
      </c>
      <c r="W856" s="326">
        <v>0</v>
      </c>
      <c r="X856" s="326">
        <v>0</v>
      </c>
      <c r="Y856" s="327">
        <v>44500</v>
      </c>
      <c r="Z856" s="328">
        <v>44500</v>
      </c>
      <c r="AA856" s="327">
        <v>0</v>
      </c>
      <c r="AB856" s="327">
        <v>44500</v>
      </c>
    </row>
    <row r="857" spans="1:28" s="100" customFormat="1" x14ac:dyDescent="0.2">
      <c r="A857" s="403"/>
      <c r="B857" s="419"/>
      <c r="C857" s="151"/>
      <c r="D857" s="152"/>
      <c r="E857" s="124"/>
      <c r="F857" s="124"/>
      <c r="G857" s="124"/>
      <c r="H857" s="124"/>
      <c r="I857" s="124"/>
      <c r="J857" s="124"/>
      <c r="K857" s="416"/>
      <c r="L857" s="120"/>
      <c r="M857" s="121"/>
      <c r="N857" s="428"/>
      <c r="O857" s="428"/>
      <c r="P857" s="428"/>
      <c r="Q857" s="560">
        <v>32000000</v>
      </c>
      <c r="R857" s="560">
        <v>0</v>
      </c>
      <c r="S857" s="428"/>
      <c r="T857" s="428"/>
      <c r="U857" s="566">
        <v>32000000</v>
      </c>
      <c r="V857" s="560">
        <v>17000000</v>
      </c>
      <c r="W857" s="555">
        <v>0</v>
      </c>
      <c r="X857" s="555">
        <v>0</v>
      </c>
      <c r="Y857" s="560">
        <v>32000000</v>
      </c>
      <c r="Z857" s="566">
        <v>17000000</v>
      </c>
      <c r="AA857" s="560">
        <v>41000000</v>
      </c>
      <c r="AB857" s="560">
        <f>AA857+Z857</f>
        <v>58000000</v>
      </c>
    </row>
    <row r="858" spans="1:28" s="100" customFormat="1" x14ac:dyDescent="0.2">
      <c r="A858" s="404" t="s">
        <v>246</v>
      </c>
      <c r="B858" s="419"/>
      <c r="C858" s="151"/>
      <c r="D858" s="151"/>
      <c r="E858" s="124"/>
      <c r="F858" s="124"/>
      <c r="G858" s="124"/>
      <c r="H858" s="124"/>
      <c r="I858" s="124"/>
      <c r="J858" s="124"/>
      <c r="K858" s="416"/>
      <c r="L858" s="120"/>
      <c r="M858" s="121"/>
      <c r="N858" s="428"/>
      <c r="O858" s="428"/>
      <c r="P858" s="428"/>
      <c r="Q858" s="561"/>
      <c r="R858" s="561"/>
      <c r="S858" s="428"/>
      <c r="T858" s="428"/>
      <c r="U858" s="567"/>
      <c r="V858" s="561"/>
      <c r="W858" s="556"/>
      <c r="X858" s="556"/>
      <c r="Y858" s="561"/>
      <c r="Z858" s="567"/>
      <c r="AA858" s="561"/>
      <c r="AB858" s="561"/>
    </row>
    <row r="859" spans="1:28" ht="18" x14ac:dyDescent="0.2">
      <c r="A859" s="431" t="s">
        <v>80</v>
      </c>
      <c r="B859" s="432" t="s">
        <v>83</v>
      </c>
      <c r="C859" s="433" t="s">
        <v>83</v>
      </c>
      <c r="D859" s="432" t="s">
        <v>83</v>
      </c>
      <c r="E859" s="574" t="s">
        <v>83</v>
      </c>
      <c r="F859" s="574"/>
      <c r="G859" s="574"/>
      <c r="H859" s="574"/>
      <c r="I859" s="574"/>
      <c r="J859" s="574"/>
      <c r="K859" s="434"/>
      <c r="L859" s="435" t="e">
        <f>L199+L524+L543+L653+L169+L18+L782</f>
        <v>#REF!</v>
      </c>
      <c r="M859" s="436" t="e">
        <f>M199+M524+M543+M653+M169+M18+M782</f>
        <v>#REF!</v>
      </c>
      <c r="N859" s="437" t="e">
        <f>N199+N524+N543+N653+N169+N18+N782+N801+#REF!+#REF!</f>
        <v>#REF!</v>
      </c>
      <c r="O859" s="437" t="e">
        <f>O199+O524+O543+O653+O169+O18+O782+O801+#REF!+#REF!</f>
        <v>#REF!</v>
      </c>
      <c r="P859" s="437">
        <f>P199+P524+P543+P653+P169+P18+P782+P801</f>
        <v>2174743318.5499997</v>
      </c>
      <c r="Q859" s="437">
        <f>Q199+Q524+Q543+Q653+Q169+Q18+Q782+Q801</f>
        <v>3296136576.4299998</v>
      </c>
      <c r="R859" s="437">
        <f>R199+R524+R543+R653+R169+R18+R782+R801</f>
        <v>108620677.53</v>
      </c>
      <c r="S859" s="437">
        <f>S199+S524+S543+S653+S169+S18+S782+S801</f>
        <v>64219965.359999999</v>
      </c>
      <c r="T859" s="437">
        <f>T199+T524+T543+T653+T169+T18+T782+T801</f>
        <v>2238963283.9100003</v>
      </c>
      <c r="U859" s="495">
        <f t="shared" ref="U859:AA859" si="445">U199+U524+U543+U653+U169+U18+U782+U801+U857</f>
        <v>2199719661.5599999</v>
      </c>
      <c r="V859" s="437">
        <f t="shared" si="445"/>
        <v>3287560498.5200005</v>
      </c>
      <c r="W859" s="493">
        <f t="shared" si="445"/>
        <v>1758947.8600000013</v>
      </c>
      <c r="X859" s="493">
        <f t="shared" si="445"/>
        <v>14530458.220000001</v>
      </c>
      <c r="Y859" s="437">
        <f t="shared" si="445"/>
        <v>2219530119.7800002</v>
      </c>
      <c r="Z859" s="495">
        <f t="shared" si="445"/>
        <v>2125372518.4800003</v>
      </c>
      <c r="AA859" s="437">
        <f t="shared" si="445"/>
        <v>55027353.109999999</v>
      </c>
      <c r="AB859" s="437">
        <f>AB199+AB524+AB543+AB653+AB169+AB18+AB782+AB801+AB857</f>
        <v>2180399871.5900002</v>
      </c>
    </row>
    <row r="860" spans="1:28" s="155" customFormat="1" ht="15.75" x14ac:dyDescent="0.25">
      <c r="A860" s="153"/>
      <c r="B860" s="156"/>
      <c r="C860" s="154"/>
      <c r="E860" s="154"/>
      <c r="F860" s="154"/>
      <c r="G860" s="154"/>
      <c r="H860" s="154"/>
      <c r="I860" s="154"/>
      <c r="J860" s="577"/>
      <c r="K860" s="577"/>
      <c r="Q860" s="158"/>
      <c r="R860" s="158"/>
      <c r="S860" s="158"/>
      <c r="T860" s="158"/>
      <c r="U860" s="158"/>
    </row>
    <row r="861" spans="1:28" s="155" customFormat="1" ht="35.25" customHeight="1" x14ac:dyDescent="0.25">
      <c r="A861" s="153"/>
      <c r="B861" s="156"/>
      <c r="C861" s="154"/>
      <c r="D861" s="157"/>
      <c r="E861" s="154"/>
      <c r="F861" s="154"/>
      <c r="G861" s="154"/>
      <c r="H861" s="154"/>
      <c r="I861" s="154"/>
      <c r="J861" s="576"/>
      <c r="K861" s="576"/>
      <c r="O861" s="487">
        <v>182979018.41999999</v>
      </c>
      <c r="W861" s="155">
        <v>4646847.05</v>
      </c>
      <c r="Y861" s="158"/>
      <c r="Z861" s="158"/>
      <c r="AA861" s="158"/>
      <c r="AB861" s="158"/>
    </row>
    <row r="862" spans="1:28" s="155" customFormat="1" ht="27.75" customHeight="1" x14ac:dyDescent="0.25">
      <c r="A862" s="153"/>
      <c r="B862" s="156"/>
      <c r="C862" s="154"/>
      <c r="D862" s="154"/>
      <c r="E862" s="154"/>
      <c r="F862" s="154"/>
      <c r="G862" s="154"/>
      <c r="H862" s="154"/>
      <c r="I862" s="448"/>
      <c r="J862" s="575"/>
      <c r="K862" s="575"/>
      <c r="L862" s="449"/>
      <c r="M862" s="449"/>
      <c r="N862" s="450"/>
      <c r="O862" s="450"/>
      <c r="P862" s="450"/>
      <c r="Q862" s="450"/>
      <c r="R862" s="450"/>
      <c r="S862" s="450"/>
      <c r="T862" s="450"/>
      <c r="U862" s="450"/>
      <c r="V862" s="450"/>
      <c r="W862" s="158">
        <f>W861+W859</f>
        <v>6405794.9100000011</v>
      </c>
      <c r="X862" s="158"/>
      <c r="Y862" s="158"/>
    </row>
    <row r="863" spans="1:28" s="155" customFormat="1" ht="18" x14ac:dyDescent="0.25">
      <c r="A863" s="153"/>
      <c r="B863" s="159"/>
      <c r="C863" s="159"/>
      <c r="D863" s="154"/>
      <c r="E863" s="159"/>
      <c r="F863" s="159"/>
      <c r="G863" s="159"/>
      <c r="H863" s="159"/>
      <c r="I863" s="527"/>
      <c r="J863" s="528"/>
      <c r="K863" s="451"/>
      <c r="L863" s="449"/>
      <c r="M863" s="449"/>
      <c r="N863" s="452" t="e">
        <f>N820+N324+#REF!+#REF!</f>
        <v>#REF!</v>
      </c>
      <c r="O863" s="452" t="e">
        <f>O820+O324+#REF!+#REF!</f>
        <v>#REF!</v>
      </c>
      <c r="P863" s="452"/>
      <c r="Q863" s="452"/>
      <c r="R863" s="452"/>
      <c r="S863" s="452"/>
      <c r="T863" s="452"/>
      <c r="U863" s="452"/>
      <c r="V863" s="452"/>
      <c r="W863" s="452"/>
      <c r="X863" s="452"/>
      <c r="Y863" s="452"/>
      <c r="Z863" s="452"/>
      <c r="AA863" s="452"/>
    </row>
    <row r="864" spans="1:28" s="155" customFormat="1" ht="45" customHeight="1" x14ac:dyDescent="0.25">
      <c r="A864" s="153"/>
      <c r="B864" s="159"/>
      <c r="C864" s="159"/>
      <c r="D864" s="154"/>
      <c r="E864" s="159"/>
      <c r="F864" s="159"/>
      <c r="G864" s="159"/>
      <c r="H864" s="159"/>
      <c r="I864" s="527"/>
      <c r="J864" s="578"/>
      <c r="K864" s="578"/>
      <c r="L864" s="449"/>
      <c r="M864" s="449"/>
      <c r="N864" s="450"/>
      <c r="O864" s="450"/>
      <c r="P864" s="450"/>
      <c r="Q864" s="450"/>
      <c r="R864" s="450"/>
      <c r="S864" s="450"/>
      <c r="T864" s="450"/>
      <c r="U864" s="450"/>
      <c r="V864" s="450"/>
    </row>
    <row r="865" spans="1:27" s="155" customFormat="1" ht="18" x14ac:dyDescent="0.25">
      <c r="A865" s="153"/>
      <c r="B865" s="159"/>
      <c r="C865" s="159"/>
      <c r="D865" s="154"/>
      <c r="E865" s="159"/>
      <c r="F865" s="159"/>
      <c r="G865" s="159"/>
      <c r="H865" s="159"/>
      <c r="I865" s="527"/>
      <c r="J865" s="527"/>
      <c r="K865" s="453"/>
      <c r="L865" s="449"/>
      <c r="M865" s="449"/>
      <c r="N865" s="450" t="e">
        <f>N326+N822+#REF!+#REF!</f>
        <v>#REF!</v>
      </c>
      <c r="O865" s="450" t="e">
        <f>O326+O822+#REF!+#REF!</f>
        <v>#REF!</v>
      </c>
      <c r="P865" s="450"/>
      <c r="Q865" s="450"/>
      <c r="R865" s="450"/>
      <c r="S865" s="450"/>
      <c r="T865" s="450"/>
      <c r="U865" s="450"/>
      <c r="V865" s="450"/>
      <c r="W865" s="450"/>
      <c r="X865" s="450"/>
      <c r="Y865" s="450"/>
      <c r="Z865" s="450"/>
      <c r="AA865" s="450"/>
    </row>
    <row r="866" spans="1:27" s="155" customFormat="1" ht="18" x14ac:dyDescent="0.25">
      <c r="A866" s="153"/>
      <c r="B866" s="159"/>
      <c r="C866" s="159"/>
      <c r="D866" s="154"/>
      <c r="E866" s="159"/>
      <c r="F866" s="159"/>
      <c r="G866" s="159"/>
      <c r="H866" s="159"/>
      <c r="I866" s="527"/>
      <c r="J866" s="527"/>
      <c r="K866" s="453"/>
      <c r="L866" s="449"/>
      <c r="M866" s="449"/>
      <c r="N866" s="452" t="e">
        <f>N863+N865</f>
        <v>#REF!</v>
      </c>
      <c r="O866" s="452" t="e">
        <f>O863+O865</f>
        <v>#REF!</v>
      </c>
      <c r="P866" s="452"/>
      <c r="Q866" s="452"/>
      <c r="R866" s="452"/>
      <c r="S866" s="452"/>
      <c r="T866" s="452"/>
      <c r="U866" s="452"/>
      <c r="V866" s="452"/>
      <c r="W866" s="452"/>
      <c r="X866" s="452"/>
      <c r="Y866" s="452"/>
      <c r="Z866" s="452"/>
      <c r="AA866" s="452"/>
    </row>
    <row r="867" spans="1:27" s="155" customFormat="1" ht="15" customHeight="1" x14ac:dyDescent="0.25">
      <c r="A867" s="153"/>
      <c r="B867" s="159"/>
      <c r="C867" s="159"/>
      <c r="D867" s="154"/>
      <c r="E867" s="159"/>
      <c r="F867" s="159"/>
      <c r="G867" s="159"/>
      <c r="H867" s="159"/>
      <c r="I867" s="568"/>
      <c r="J867" s="568"/>
      <c r="K867" s="568"/>
      <c r="L867" s="449"/>
      <c r="M867" s="449"/>
      <c r="N867" s="450"/>
      <c r="O867" s="450"/>
      <c r="P867" s="450"/>
      <c r="Q867" s="450"/>
      <c r="R867" s="450"/>
      <c r="S867" s="450"/>
      <c r="T867" s="450"/>
      <c r="U867" s="450"/>
      <c r="V867" s="450"/>
    </row>
    <row r="868" spans="1:27" s="155" customFormat="1" ht="18" x14ac:dyDescent="0.25">
      <c r="A868" s="153"/>
      <c r="B868" s="159"/>
      <c r="C868" s="159"/>
      <c r="D868" s="159"/>
      <c r="E868" s="159"/>
      <c r="F868" s="159"/>
      <c r="G868" s="159"/>
      <c r="H868" s="159"/>
      <c r="I868" s="527"/>
      <c r="J868" s="527"/>
      <c r="K868" s="453"/>
      <c r="L868" s="449"/>
      <c r="M868" s="449"/>
      <c r="N868" s="449"/>
      <c r="O868" s="449"/>
      <c r="P868" s="449"/>
      <c r="Q868" s="449"/>
      <c r="R868" s="449"/>
      <c r="S868" s="449"/>
      <c r="T868" s="449"/>
      <c r="U868" s="449"/>
      <c r="V868" s="449"/>
    </row>
    <row r="869" spans="1:27" s="155" customFormat="1" ht="18" x14ac:dyDescent="0.25">
      <c r="A869" s="153"/>
      <c r="B869" s="159"/>
      <c r="C869" s="159"/>
      <c r="D869" s="159"/>
      <c r="E869" s="159"/>
      <c r="F869" s="159"/>
      <c r="G869" s="159"/>
      <c r="H869" s="159"/>
      <c r="I869" s="527"/>
      <c r="J869" s="527"/>
      <c r="K869" s="453"/>
      <c r="L869" s="449"/>
      <c r="M869" s="449"/>
      <c r="N869" s="449"/>
      <c r="O869" s="449"/>
      <c r="P869" s="449"/>
      <c r="Q869" s="449"/>
      <c r="R869" s="449"/>
      <c r="S869" s="449"/>
      <c r="T869" s="449"/>
      <c r="U869" s="449"/>
      <c r="V869" s="449"/>
    </row>
    <row r="870" spans="1:27" s="155" customFormat="1" ht="18" x14ac:dyDescent="0.25">
      <c r="A870" s="153"/>
      <c r="B870" s="159"/>
      <c r="C870" s="159"/>
      <c r="D870" s="159"/>
      <c r="E870" s="159"/>
      <c r="F870" s="159"/>
      <c r="G870" s="159"/>
      <c r="H870" s="159"/>
      <c r="I870" s="527"/>
      <c r="J870" s="527"/>
      <c r="K870" s="453"/>
      <c r="L870" s="449"/>
      <c r="M870" s="449"/>
      <c r="N870" s="450"/>
      <c r="O870" s="450"/>
      <c r="P870" s="450"/>
      <c r="Q870" s="450"/>
      <c r="R870" s="450"/>
      <c r="S870" s="450"/>
      <c r="T870" s="450"/>
      <c r="U870" s="450"/>
      <c r="V870" s="450"/>
      <c r="W870" s="158"/>
      <c r="X870" s="158"/>
      <c r="Y870" s="158"/>
    </row>
    <row r="871" spans="1:27" s="155" customFormat="1" ht="18" x14ac:dyDescent="0.25">
      <c r="A871" s="153"/>
      <c r="B871" s="159"/>
      <c r="C871" s="159"/>
      <c r="D871" s="159"/>
      <c r="E871" s="159"/>
      <c r="F871" s="159"/>
      <c r="G871" s="159"/>
      <c r="H871" s="159"/>
      <c r="I871" s="489"/>
      <c r="J871" s="527"/>
      <c r="K871" s="453"/>
      <c r="L871" s="449"/>
      <c r="M871" s="449"/>
      <c r="N871" s="450"/>
      <c r="O871" s="450"/>
      <c r="P871" s="450"/>
      <c r="Q871" s="450"/>
      <c r="R871" s="450"/>
      <c r="S871" s="450"/>
      <c r="T871" s="450"/>
      <c r="U871" s="450"/>
      <c r="V871" s="450"/>
      <c r="W871" s="450"/>
      <c r="X871" s="450"/>
      <c r="Y871" s="450"/>
      <c r="Z871" s="450"/>
      <c r="AA871" s="450"/>
    </row>
    <row r="872" spans="1:27" s="155" customFormat="1" ht="18" x14ac:dyDescent="0.25">
      <c r="A872" s="153"/>
      <c r="B872" s="159"/>
      <c r="C872" s="159"/>
      <c r="D872" s="159"/>
      <c r="E872" s="159"/>
      <c r="F872" s="159"/>
      <c r="G872" s="159"/>
      <c r="H872" s="159"/>
      <c r="I872" s="527"/>
      <c r="J872" s="527"/>
      <c r="K872" s="453"/>
      <c r="L872" s="449"/>
      <c r="M872" s="449"/>
      <c r="N872" s="449"/>
      <c r="O872" s="449"/>
      <c r="P872" s="449"/>
      <c r="Q872" s="449"/>
      <c r="R872" s="449"/>
      <c r="S872" s="449"/>
      <c r="T872" s="449"/>
      <c r="U872" s="449"/>
      <c r="V872" s="449"/>
    </row>
    <row r="873" spans="1:27" s="155" customFormat="1" ht="28.5" customHeight="1" x14ac:dyDescent="0.25">
      <c r="A873" s="153"/>
      <c r="B873" s="159"/>
      <c r="C873" s="159"/>
      <c r="D873" s="159"/>
      <c r="E873" s="159"/>
      <c r="F873" s="159"/>
      <c r="G873" s="159"/>
      <c r="H873" s="159"/>
      <c r="I873" s="527"/>
      <c r="J873" s="527"/>
      <c r="K873" s="453"/>
      <c r="L873" s="449"/>
      <c r="M873" s="449"/>
      <c r="N873" s="450"/>
      <c r="O873" s="450"/>
      <c r="P873" s="450"/>
      <c r="Q873" s="450"/>
      <c r="R873" s="450"/>
      <c r="S873" s="450"/>
      <c r="T873" s="450"/>
      <c r="U873" s="450"/>
      <c r="V873" s="450"/>
      <c r="W873" s="450"/>
      <c r="X873" s="450"/>
      <c r="Y873" s="450"/>
      <c r="Z873" s="450"/>
      <c r="AA873" s="450"/>
    </row>
    <row r="874" spans="1:27" s="155" customFormat="1" ht="18" x14ac:dyDescent="0.25">
      <c r="A874" s="153"/>
      <c r="B874" s="159"/>
      <c r="C874" s="159"/>
      <c r="D874" s="159"/>
      <c r="E874" s="159"/>
      <c r="F874" s="159"/>
      <c r="G874" s="159"/>
      <c r="H874" s="159"/>
      <c r="I874" s="527"/>
      <c r="J874" s="527"/>
      <c r="K874" s="453"/>
      <c r="L874" s="449"/>
      <c r="M874" s="449"/>
      <c r="N874" s="450"/>
      <c r="O874" s="450"/>
      <c r="P874" s="450"/>
      <c r="Q874" s="450"/>
      <c r="R874" s="450"/>
      <c r="S874" s="450"/>
      <c r="T874" s="450"/>
      <c r="U874" s="450"/>
      <c r="V874" s="450"/>
    </row>
    <row r="875" spans="1:27" s="155" customFormat="1" ht="18" x14ac:dyDescent="0.25">
      <c r="A875" s="160"/>
      <c r="B875" s="159"/>
      <c r="C875" s="159"/>
      <c r="D875" s="159"/>
      <c r="E875" s="159"/>
      <c r="F875" s="159"/>
      <c r="G875" s="159"/>
      <c r="H875" s="159"/>
      <c r="I875" s="527"/>
      <c r="J875" s="527"/>
      <c r="K875" s="453"/>
      <c r="L875" s="449"/>
      <c r="M875" s="449"/>
      <c r="N875" s="450">
        <f>N871+N873</f>
        <v>0</v>
      </c>
      <c r="O875" s="450">
        <f>O871+O873</f>
        <v>0</v>
      </c>
      <c r="P875" s="450"/>
      <c r="Q875" s="450"/>
      <c r="R875" s="450"/>
      <c r="S875" s="450"/>
      <c r="T875" s="450"/>
      <c r="U875" s="450"/>
      <c r="V875" s="450"/>
      <c r="W875" s="450"/>
      <c r="X875" s="450"/>
      <c r="Y875" s="450"/>
      <c r="Z875" s="450"/>
      <c r="AA875" s="450"/>
    </row>
    <row r="876" spans="1:27" s="155" customFormat="1" ht="18" x14ac:dyDescent="0.25">
      <c r="A876" s="160"/>
      <c r="B876" s="159"/>
      <c r="C876" s="159"/>
      <c r="D876" s="159"/>
      <c r="E876" s="159"/>
      <c r="F876" s="159"/>
      <c r="G876" s="159"/>
      <c r="H876" s="159"/>
      <c r="I876" s="527"/>
      <c r="J876" s="527"/>
      <c r="K876" s="453"/>
      <c r="L876" s="449"/>
      <c r="M876" s="449"/>
      <c r="N876" s="450"/>
      <c r="O876" s="450"/>
      <c r="P876" s="450"/>
      <c r="Q876" s="450"/>
      <c r="R876" s="450"/>
      <c r="S876" s="450"/>
      <c r="T876" s="450"/>
      <c r="U876" s="450"/>
      <c r="V876" s="450"/>
      <c r="W876" s="450"/>
      <c r="X876" s="450"/>
      <c r="Y876" s="450"/>
    </row>
    <row r="877" spans="1:27" s="155" customFormat="1" ht="18" x14ac:dyDescent="0.25">
      <c r="A877" s="160"/>
      <c r="B877" s="159"/>
      <c r="C877" s="159"/>
      <c r="D877" s="159"/>
      <c r="E877" s="159"/>
      <c r="F877" s="159"/>
      <c r="G877" s="159"/>
      <c r="H877" s="159"/>
      <c r="I877" s="527"/>
      <c r="J877" s="527"/>
      <c r="K877" s="453"/>
      <c r="L877" s="449"/>
      <c r="M877" s="449"/>
      <c r="N877" s="449"/>
      <c r="O877" s="449"/>
      <c r="P877" s="449"/>
      <c r="Q877" s="449"/>
      <c r="R877" s="449"/>
      <c r="S877" s="449"/>
      <c r="T877" s="449"/>
      <c r="U877" s="449"/>
      <c r="V877" s="449"/>
    </row>
    <row r="878" spans="1:27" s="155" customFormat="1" ht="18" x14ac:dyDescent="0.25">
      <c r="A878" s="47"/>
      <c r="B878" s="48"/>
      <c r="C878" s="48"/>
      <c r="D878" s="159"/>
      <c r="E878" s="48"/>
      <c r="F878" s="48"/>
      <c r="G878" s="48"/>
      <c r="H878" s="48"/>
      <c r="I878" s="454"/>
      <c r="J878" s="454"/>
      <c r="K878" s="455"/>
      <c r="L878" s="449"/>
      <c r="M878" s="449"/>
      <c r="N878" s="449"/>
      <c r="O878" s="449"/>
      <c r="P878" s="449"/>
      <c r="Q878" s="449"/>
      <c r="R878" s="449"/>
      <c r="S878" s="449"/>
      <c r="T878" s="449"/>
      <c r="U878" s="449"/>
      <c r="V878" s="449"/>
    </row>
    <row r="879" spans="1:27" s="155" customFormat="1" ht="18" x14ac:dyDescent="0.25">
      <c r="A879" s="47"/>
      <c r="B879" s="48"/>
      <c r="C879" s="48"/>
      <c r="D879" s="159"/>
      <c r="E879" s="48"/>
      <c r="F879" s="48"/>
      <c r="G879" s="48"/>
      <c r="H879" s="48"/>
      <c r="I879" s="454"/>
      <c r="J879" s="454"/>
      <c r="K879" s="455"/>
      <c r="L879" s="449"/>
      <c r="M879" s="449"/>
      <c r="N879" s="449"/>
      <c r="O879" s="449"/>
      <c r="P879" s="449"/>
      <c r="Q879" s="449"/>
      <c r="R879" s="449"/>
      <c r="S879" s="449"/>
      <c r="T879" s="449"/>
      <c r="U879" s="449"/>
      <c r="V879" s="449"/>
    </row>
    <row r="880" spans="1:27" s="155" customFormat="1" ht="18" x14ac:dyDescent="0.25">
      <c r="A880" s="47"/>
      <c r="B880" s="48"/>
      <c r="C880" s="48"/>
      <c r="D880" s="159"/>
      <c r="E880" s="48"/>
      <c r="F880" s="48"/>
      <c r="G880" s="48"/>
      <c r="H880" s="48"/>
      <c r="I880" s="454"/>
      <c r="J880" s="454"/>
      <c r="K880" s="455"/>
      <c r="L880" s="449"/>
      <c r="M880" s="449"/>
      <c r="N880" s="450"/>
      <c r="O880" s="450"/>
      <c r="P880" s="450"/>
      <c r="Q880" s="450"/>
      <c r="R880" s="450"/>
      <c r="S880" s="450"/>
      <c r="T880" s="450"/>
      <c r="U880" s="450"/>
      <c r="V880" s="450"/>
    </row>
    <row r="881" spans="1:26" s="155" customFormat="1" ht="18" x14ac:dyDescent="0.25">
      <c r="A881" s="47"/>
      <c r="B881" s="48"/>
      <c r="C881" s="48"/>
      <c r="D881" s="159"/>
      <c r="E881" s="48"/>
      <c r="F881" s="48"/>
      <c r="G881" s="48"/>
      <c r="H881" s="48"/>
      <c r="I881" s="454"/>
      <c r="J881" s="454"/>
      <c r="K881" s="455"/>
      <c r="L881" s="449"/>
      <c r="M881" s="449"/>
      <c r="N881" s="449"/>
      <c r="O881" s="449"/>
      <c r="P881" s="449"/>
      <c r="Q881" s="449"/>
      <c r="R881" s="449"/>
      <c r="S881" s="449"/>
      <c r="T881" s="449"/>
      <c r="U881" s="449"/>
      <c r="V881" s="449"/>
    </row>
    <row r="882" spans="1:26" s="155" customFormat="1" ht="18" x14ac:dyDescent="0.25">
      <c r="A882" s="47"/>
      <c r="B882" s="48"/>
      <c r="C882" s="48"/>
      <c r="D882" s="159"/>
      <c r="E882" s="48"/>
      <c r="F882" s="48"/>
      <c r="G882" s="48"/>
      <c r="H882" s="48"/>
      <c r="I882" s="454"/>
      <c r="J882" s="454"/>
      <c r="K882" s="455"/>
      <c r="L882" s="449"/>
      <c r="M882" s="449"/>
      <c r="N882" s="449"/>
      <c r="O882" s="449"/>
      <c r="P882" s="449"/>
      <c r="Q882" s="449"/>
      <c r="R882" s="449"/>
      <c r="S882" s="449"/>
      <c r="T882" s="449"/>
      <c r="U882" s="449"/>
      <c r="V882" s="449"/>
    </row>
    <row r="883" spans="1:26" s="155" customFormat="1" ht="18" x14ac:dyDescent="0.25">
      <c r="A883" s="47"/>
      <c r="B883" s="48"/>
      <c r="C883" s="48"/>
      <c r="D883" s="48"/>
      <c r="E883" s="48"/>
      <c r="F883" s="48"/>
      <c r="G883" s="48"/>
      <c r="H883" s="48"/>
      <c r="I883" s="454"/>
      <c r="J883" s="454"/>
      <c r="K883" s="455"/>
      <c r="L883" s="449"/>
      <c r="M883" s="449"/>
      <c r="N883" s="449"/>
      <c r="O883" s="449"/>
      <c r="P883" s="449"/>
      <c r="Q883" s="449"/>
      <c r="R883" s="449"/>
      <c r="S883" s="449"/>
      <c r="T883" s="449"/>
      <c r="U883" s="449"/>
      <c r="V883" s="449"/>
    </row>
    <row r="884" spans="1:26" s="155" customFormat="1" ht="18" x14ac:dyDescent="0.25">
      <c r="A884" s="47"/>
      <c r="B884" s="159"/>
      <c r="C884" s="159"/>
      <c r="D884" s="48"/>
      <c r="E884" s="159"/>
      <c r="F884" s="159"/>
      <c r="G884" s="159"/>
      <c r="H884" s="159"/>
      <c r="I884" s="527"/>
      <c r="J884" s="527"/>
      <c r="K884" s="453"/>
      <c r="L884" s="449"/>
      <c r="M884" s="449"/>
      <c r="N884" s="450"/>
      <c r="O884" s="450"/>
      <c r="P884" s="450"/>
      <c r="Q884" s="450"/>
      <c r="R884" s="450"/>
      <c r="S884" s="450"/>
      <c r="T884" s="450"/>
      <c r="U884" s="450"/>
      <c r="V884" s="450"/>
    </row>
    <row r="885" spans="1:26" s="155" customFormat="1" ht="18" x14ac:dyDescent="0.25">
      <c r="A885" s="47"/>
      <c r="B885" s="159"/>
      <c r="C885" s="159"/>
      <c r="D885" s="48"/>
      <c r="E885" s="159"/>
      <c r="F885" s="159"/>
      <c r="G885" s="159"/>
      <c r="H885" s="159"/>
      <c r="I885" s="527"/>
      <c r="J885" s="527"/>
      <c r="K885" s="453"/>
      <c r="L885" s="449"/>
      <c r="M885" s="449"/>
      <c r="N885" s="449"/>
      <c r="O885" s="449"/>
      <c r="P885" s="449"/>
      <c r="Q885" s="449"/>
      <c r="R885" s="449"/>
      <c r="S885" s="449"/>
      <c r="T885" s="449"/>
      <c r="U885" s="449"/>
      <c r="V885" s="449"/>
    </row>
    <row r="886" spans="1:26" s="155" customFormat="1" x14ac:dyDescent="0.2">
      <c r="A886" s="47"/>
      <c r="B886" s="159"/>
      <c r="C886" s="159"/>
      <c r="D886" s="48"/>
      <c r="E886" s="159"/>
      <c r="F886" s="159"/>
      <c r="G886" s="159"/>
      <c r="H886" s="159"/>
      <c r="I886" s="159"/>
      <c r="J886" s="159"/>
      <c r="K886" s="126"/>
    </row>
    <row r="887" spans="1:26" s="155" customFormat="1" x14ac:dyDescent="0.2">
      <c r="A887" s="47"/>
      <c r="B887" s="159"/>
      <c r="C887" s="159"/>
      <c r="D887" s="48"/>
      <c r="E887" s="159"/>
      <c r="F887" s="159"/>
      <c r="G887" s="159"/>
      <c r="H887" s="159"/>
      <c r="I887" s="159"/>
      <c r="J887" s="159"/>
      <c r="K887" s="126"/>
    </row>
    <row r="888" spans="1:26" s="155" customFormat="1" x14ac:dyDescent="0.2">
      <c r="A888" s="47"/>
      <c r="B888" s="159"/>
      <c r="C888" s="159"/>
      <c r="D888" s="48"/>
      <c r="E888" s="159"/>
      <c r="F888" s="159"/>
      <c r="G888" s="159"/>
      <c r="H888" s="159"/>
      <c r="I888" s="159"/>
      <c r="J888" s="159"/>
      <c r="K888" s="126"/>
    </row>
    <row r="889" spans="1:26" s="155" customFormat="1" ht="18" x14ac:dyDescent="0.25">
      <c r="A889" s="47"/>
      <c r="B889" s="159"/>
      <c r="C889" s="159"/>
      <c r="D889" s="159"/>
      <c r="E889" s="159"/>
      <c r="F889" s="159"/>
      <c r="G889" s="159"/>
      <c r="H889" s="159"/>
      <c r="I889" s="159"/>
      <c r="J889" s="159"/>
      <c r="K889" s="453"/>
      <c r="L889" s="449"/>
      <c r="M889" s="449"/>
      <c r="N889" s="449"/>
      <c r="O889" s="449"/>
      <c r="P889" s="449"/>
      <c r="Q889" s="449"/>
      <c r="R889" s="449"/>
      <c r="S889" s="449"/>
      <c r="T889" s="449"/>
      <c r="U889" s="449"/>
      <c r="V889" s="449"/>
      <c r="W889" s="449"/>
      <c r="X889" s="449"/>
      <c r="Y889" s="449"/>
      <c r="Z889" s="449"/>
    </row>
    <row r="890" spans="1:26" s="155" customFormat="1" ht="18" x14ac:dyDescent="0.25">
      <c r="A890" s="47"/>
      <c r="B890" s="159"/>
      <c r="C890" s="159"/>
      <c r="D890" s="159"/>
      <c r="E890" s="159"/>
      <c r="F890" s="159"/>
      <c r="G890" s="159"/>
      <c r="H890" s="159"/>
      <c r="I890" s="159"/>
      <c r="J890" s="159"/>
      <c r="K890" s="453"/>
      <c r="L890" s="449"/>
      <c r="M890" s="449"/>
      <c r="N890" s="449"/>
      <c r="O890" s="449"/>
      <c r="P890" s="449"/>
      <c r="Q890" s="449"/>
      <c r="R890" s="449"/>
      <c r="S890" s="449"/>
      <c r="T890" s="449"/>
      <c r="U890" s="449"/>
      <c r="V890" s="449"/>
      <c r="W890" s="449"/>
      <c r="X890" s="449"/>
      <c r="Y890" s="449"/>
      <c r="Z890" s="449"/>
    </row>
    <row r="891" spans="1:26" s="155" customFormat="1" ht="18" x14ac:dyDescent="0.25">
      <c r="A891" s="47"/>
      <c r="B891" s="159"/>
      <c r="C891" s="159"/>
      <c r="D891" s="159"/>
      <c r="E891" s="159"/>
      <c r="F891" s="159"/>
      <c r="G891" s="159"/>
      <c r="H891" s="159"/>
      <c r="I891" s="159"/>
      <c r="J891" s="159"/>
      <c r="K891" s="453"/>
      <c r="L891" s="449"/>
      <c r="M891" s="449"/>
      <c r="N891" s="449"/>
      <c r="O891" s="449"/>
      <c r="P891" s="449"/>
      <c r="Q891" s="449"/>
      <c r="R891" s="449"/>
      <c r="S891" s="449"/>
      <c r="T891" s="449"/>
      <c r="U891" s="449"/>
      <c r="V891" s="449"/>
      <c r="W891" s="449"/>
      <c r="X891" s="449"/>
      <c r="Y891" s="449"/>
      <c r="Z891" s="449"/>
    </row>
    <row r="892" spans="1:26" s="155" customFormat="1" ht="18" x14ac:dyDescent="0.25">
      <c r="A892" s="47"/>
      <c r="B892" s="159"/>
      <c r="C892" s="159"/>
      <c r="D892" s="159"/>
      <c r="E892" s="159"/>
      <c r="F892" s="159"/>
      <c r="G892" s="159"/>
      <c r="H892" s="159"/>
      <c r="I892" s="159"/>
      <c r="J892" s="159"/>
      <c r="K892" s="453"/>
      <c r="L892" s="449"/>
      <c r="M892" s="449"/>
      <c r="N892" s="450"/>
      <c r="O892" s="450"/>
      <c r="P892" s="450"/>
      <c r="Q892" s="450"/>
      <c r="R892" s="450"/>
      <c r="S892" s="450"/>
      <c r="T892" s="450"/>
      <c r="U892" s="450"/>
      <c r="V892" s="450"/>
      <c r="W892" s="449"/>
      <c r="X892" s="449"/>
      <c r="Y892" s="449"/>
      <c r="Z892" s="449"/>
    </row>
    <row r="893" spans="1:26" s="155" customFormat="1" ht="18" x14ac:dyDescent="0.25">
      <c r="A893" s="47"/>
      <c r="B893" s="159"/>
      <c r="C893" s="159"/>
      <c r="D893" s="159"/>
      <c r="E893" s="159"/>
      <c r="F893" s="159"/>
      <c r="G893" s="159"/>
      <c r="H893" s="159"/>
      <c r="I893" s="159"/>
      <c r="J893" s="159"/>
      <c r="K893" s="453"/>
      <c r="L893" s="449"/>
      <c r="M893" s="449"/>
      <c r="N893" s="449"/>
      <c r="O893" s="449"/>
      <c r="P893" s="449"/>
      <c r="Q893" s="449"/>
      <c r="R893" s="449"/>
      <c r="S893" s="449"/>
      <c r="T893" s="449"/>
      <c r="U893" s="449"/>
      <c r="V893" s="449"/>
      <c r="W893" s="449"/>
      <c r="X893" s="449"/>
      <c r="Y893" s="449"/>
      <c r="Z893" s="449"/>
    </row>
    <row r="894" spans="1:26" s="155" customFormat="1" ht="18" x14ac:dyDescent="0.25">
      <c r="A894" s="47"/>
      <c r="B894" s="159"/>
      <c r="C894" s="159"/>
      <c r="D894" s="159"/>
      <c r="E894" s="159"/>
      <c r="F894" s="159"/>
      <c r="G894" s="159"/>
      <c r="H894" s="159"/>
      <c r="I894" s="159"/>
      <c r="J894" s="159"/>
      <c r="K894" s="453"/>
      <c r="L894" s="449"/>
      <c r="M894" s="449"/>
      <c r="N894" s="450"/>
      <c r="O894" s="450"/>
      <c r="P894" s="450"/>
      <c r="Q894" s="450"/>
      <c r="R894" s="450"/>
      <c r="S894" s="450"/>
      <c r="T894" s="450"/>
      <c r="U894" s="450"/>
      <c r="V894" s="450"/>
      <c r="W894" s="449"/>
      <c r="X894" s="449"/>
      <c r="Y894" s="449"/>
      <c r="Z894" s="449"/>
    </row>
    <row r="895" spans="1:26" s="155" customFormat="1" ht="18" x14ac:dyDescent="0.25">
      <c r="A895" s="47"/>
      <c r="B895" s="159"/>
      <c r="C895" s="159"/>
      <c r="D895" s="159"/>
      <c r="E895" s="159"/>
      <c r="F895" s="159"/>
      <c r="G895" s="159"/>
      <c r="H895" s="159"/>
      <c r="I895" s="159"/>
      <c r="J895" s="159"/>
      <c r="K895" s="453"/>
      <c r="L895" s="449"/>
      <c r="M895" s="449"/>
      <c r="N895" s="449"/>
      <c r="O895" s="449"/>
      <c r="P895" s="449"/>
      <c r="Q895" s="449"/>
      <c r="R895" s="449"/>
      <c r="S895" s="449"/>
      <c r="T895" s="449"/>
      <c r="U895" s="449"/>
      <c r="V895" s="449"/>
      <c r="W895" s="449"/>
      <c r="X895" s="449"/>
      <c r="Y895" s="449"/>
      <c r="Z895" s="449"/>
    </row>
    <row r="896" spans="1:26" s="155" customFormat="1" ht="18" x14ac:dyDescent="0.25">
      <c r="A896" s="47"/>
      <c r="B896" s="159"/>
      <c r="C896" s="159"/>
      <c r="D896" s="159"/>
      <c r="E896" s="159"/>
      <c r="F896" s="159"/>
      <c r="G896" s="159"/>
      <c r="H896" s="159"/>
      <c r="I896" s="159"/>
      <c r="J896" s="159"/>
      <c r="K896" s="453"/>
      <c r="L896" s="449"/>
      <c r="M896" s="449"/>
      <c r="N896" s="450"/>
      <c r="O896" s="450"/>
      <c r="P896" s="450"/>
      <c r="Q896" s="450"/>
      <c r="R896" s="450"/>
      <c r="S896" s="450"/>
      <c r="T896" s="450"/>
      <c r="U896" s="450"/>
      <c r="V896" s="450"/>
      <c r="W896" s="450"/>
      <c r="X896" s="450"/>
      <c r="Y896" s="450"/>
      <c r="Z896" s="449"/>
    </row>
    <row r="897" spans="1:26" s="155" customFormat="1" ht="18" x14ac:dyDescent="0.25">
      <c r="A897" s="47"/>
      <c r="B897" s="159"/>
      <c r="C897" s="161"/>
      <c r="D897" s="159"/>
      <c r="E897" s="159"/>
      <c r="F897" s="159"/>
      <c r="G897" s="159"/>
      <c r="H897" s="159"/>
      <c r="I897" s="159"/>
      <c r="J897" s="159"/>
      <c r="K897" s="453"/>
      <c r="L897" s="449"/>
      <c r="M897" s="449"/>
      <c r="N897" s="449"/>
      <c r="O897" s="449"/>
      <c r="P897" s="449"/>
      <c r="Q897" s="449"/>
      <c r="R897" s="449"/>
      <c r="S897" s="449"/>
      <c r="T897" s="449"/>
      <c r="U897" s="449"/>
      <c r="V897" s="449"/>
      <c r="W897" s="449"/>
      <c r="X897" s="449"/>
      <c r="Y897" s="449"/>
      <c r="Z897" s="449"/>
    </row>
    <row r="898" spans="1:26" s="155" customFormat="1" ht="18" x14ac:dyDescent="0.25">
      <c r="A898" s="47"/>
      <c r="B898" s="159"/>
      <c r="C898" s="159"/>
      <c r="D898" s="159"/>
      <c r="E898" s="159"/>
      <c r="F898" s="159"/>
      <c r="G898" s="159"/>
      <c r="H898" s="159"/>
      <c r="I898" s="159"/>
      <c r="J898" s="159"/>
      <c r="K898" s="453"/>
      <c r="L898" s="449"/>
      <c r="M898" s="449"/>
      <c r="N898" s="449"/>
      <c r="O898" s="449"/>
      <c r="P898" s="449"/>
      <c r="Q898" s="449"/>
      <c r="R898" s="449"/>
      <c r="S898" s="449"/>
      <c r="T898" s="449"/>
      <c r="U898" s="449"/>
      <c r="V898" s="449"/>
      <c r="W898" s="449"/>
      <c r="X898" s="449"/>
      <c r="Y898" s="449"/>
      <c r="Z898" s="449"/>
    </row>
    <row r="899" spans="1:26" s="155" customFormat="1" ht="18" x14ac:dyDescent="0.25">
      <c r="A899" s="47"/>
      <c r="B899" s="159"/>
      <c r="C899" s="159"/>
      <c r="D899" s="159"/>
      <c r="E899" s="159"/>
      <c r="F899" s="159"/>
      <c r="G899" s="159"/>
      <c r="H899" s="159"/>
      <c r="I899" s="159"/>
      <c r="J899" s="159"/>
      <c r="K899" s="453"/>
      <c r="L899" s="449"/>
      <c r="M899" s="449"/>
      <c r="N899" s="449"/>
      <c r="O899" s="449"/>
      <c r="P899" s="449"/>
      <c r="Q899" s="449"/>
      <c r="R899" s="449"/>
      <c r="S899" s="449"/>
      <c r="T899" s="449"/>
      <c r="U899" s="449"/>
      <c r="V899" s="449"/>
      <c r="W899" s="449"/>
      <c r="X899" s="449"/>
      <c r="Y899" s="449"/>
      <c r="Z899" s="449"/>
    </row>
    <row r="900" spans="1:26" s="155" customFormat="1" x14ac:dyDescent="0.2">
      <c r="A900" s="47"/>
      <c r="B900" s="159"/>
      <c r="C900" s="159"/>
      <c r="D900" s="159"/>
      <c r="E900" s="159"/>
      <c r="F900" s="159"/>
      <c r="G900" s="159"/>
      <c r="H900" s="159"/>
      <c r="I900" s="159"/>
      <c r="J900" s="159"/>
      <c r="K900" s="126"/>
    </row>
    <row r="901" spans="1:26" s="155" customFormat="1" x14ac:dyDescent="0.2">
      <c r="A901" s="47"/>
      <c r="B901" s="159"/>
      <c r="C901" s="159"/>
      <c r="D901" s="159"/>
      <c r="E901" s="159"/>
      <c r="F901" s="159"/>
      <c r="G901" s="159"/>
      <c r="H901" s="159"/>
      <c r="I901" s="159"/>
      <c r="J901" s="159"/>
      <c r="K901" s="126"/>
    </row>
    <row r="902" spans="1:26" s="155" customFormat="1" x14ac:dyDescent="0.2">
      <c r="A902" s="47"/>
      <c r="B902" s="159"/>
      <c r="C902" s="159"/>
      <c r="D902" s="159"/>
      <c r="E902" s="159"/>
      <c r="F902" s="159"/>
      <c r="G902" s="159"/>
      <c r="H902" s="159"/>
      <c r="I902" s="159"/>
      <c r="J902" s="159"/>
      <c r="K902" s="126"/>
    </row>
    <row r="903" spans="1:26" s="155" customFormat="1" x14ac:dyDescent="0.2">
      <c r="A903" s="47"/>
      <c r="B903" s="159"/>
      <c r="C903" s="159"/>
      <c r="D903" s="159"/>
      <c r="E903" s="159"/>
      <c r="F903" s="159"/>
      <c r="G903" s="159"/>
      <c r="H903" s="159"/>
      <c r="I903" s="159"/>
      <c r="J903" s="159"/>
      <c r="K903" s="126"/>
    </row>
    <row r="904" spans="1:26" s="155" customFormat="1" x14ac:dyDescent="0.2">
      <c r="A904" s="47"/>
      <c r="B904" s="159"/>
      <c r="C904" s="159"/>
      <c r="D904" s="159"/>
      <c r="E904" s="159"/>
      <c r="F904" s="159"/>
      <c r="G904" s="159"/>
      <c r="H904" s="159"/>
      <c r="I904" s="159"/>
      <c r="J904" s="159"/>
      <c r="K904" s="126"/>
    </row>
    <row r="905" spans="1:26" s="155" customFormat="1" x14ac:dyDescent="0.2">
      <c r="A905" s="47"/>
      <c r="B905" s="159"/>
      <c r="C905" s="159"/>
      <c r="D905" s="159"/>
      <c r="E905" s="159"/>
      <c r="F905" s="159"/>
      <c r="G905" s="159"/>
      <c r="H905" s="159"/>
      <c r="I905" s="159"/>
      <c r="J905" s="159"/>
      <c r="K905" s="126"/>
    </row>
    <row r="906" spans="1:26" s="155" customFormat="1" x14ac:dyDescent="0.2">
      <c r="A906" s="47"/>
      <c r="B906" s="159"/>
      <c r="C906" s="159"/>
      <c r="D906" s="159"/>
      <c r="E906" s="159"/>
      <c r="F906" s="159"/>
      <c r="G906" s="159"/>
      <c r="H906" s="159"/>
      <c r="I906" s="159"/>
      <c r="J906" s="159"/>
      <c r="K906" s="126"/>
    </row>
    <row r="907" spans="1:26" s="155" customFormat="1" x14ac:dyDescent="0.2">
      <c r="A907" s="47"/>
      <c r="B907" s="159"/>
      <c r="C907" s="159"/>
      <c r="D907" s="159"/>
      <c r="E907" s="159"/>
      <c r="F907" s="159"/>
      <c r="G907" s="159"/>
      <c r="H907" s="159"/>
      <c r="I907" s="159"/>
      <c r="J907" s="159"/>
      <c r="K907" s="126"/>
    </row>
    <row r="908" spans="1:26" s="155" customFormat="1" x14ac:dyDescent="0.2">
      <c r="A908" s="47"/>
      <c r="B908" s="159"/>
      <c r="C908" s="159"/>
      <c r="D908" s="159"/>
      <c r="E908" s="159"/>
      <c r="F908" s="159"/>
      <c r="G908" s="159"/>
      <c r="H908" s="159"/>
      <c r="I908" s="159"/>
      <c r="J908" s="159"/>
      <c r="K908" s="126"/>
    </row>
    <row r="909" spans="1:26" s="155" customFormat="1" x14ac:dyDescent="0.2">
      <c r="A909" s="47"/>
      <c r="B909" s="159"/>
      <c r="C909" s="159"/>
      <c r="D909" s="159"/>
      <c r="E909" s="159"/>
      <c r="F909" s="159"/>
      <c r="G909" s="159"/>
      <c r="H909" s="159"/>
      <c r="I909" s="159"/>
      <c r="J909" s="159"/>
      <c r="K909" s="126"/>
    </row>
    <row r="910" spans="1:26" s="155" customFormat="1" x14ac:dyDescent="0.2">
      <c r="A910" s="47"/>
      <c r="B910" s="159"/>
      <c r="C910" s="159"/>
      <c r="D910" s="159"/>
      <c r="E910" s="159"/>
      <c r="F910" s="159"/>
      <c r="G910" s="159"/>
      <c r="H910" s="159"/>
      <c r="I910" s="159"/>
      <c r="J910" s="159"/>
      <c r="K910" s="126"/>
    </row>
    <row r="911" spans="1:26" s="155" customFormat="1" x14ac:dyDescent="0.2">
      <c r="A911" s="47"/>
      <c r="B911" s="159"/>
      <c r="C911" s="159"/>
      <c r="D911" s="159"/>
      <c r="E911" s="159"/>
      <c r="F911" s="159"/>
      <c r="G911" s="159"/>
      <c r="H911" s="159"/>
      <c r="I911" s="159"/>
      <c r="J911" s="159"/>
      <c r="K911" s="126"/>
    </row>
    <row r="912" spans="1:26" s="155" customFormat="1" x14ac:dyDescent="0.2">
      <c r="A912" s="47"/>
      <c r="B912" s="159"/>
      <c r="C912" s="159"/>
      <c r="D912" s="159"/>
      <c r="E912" s="159"/>
      <c r="F912" s="159"/>
      <c r="G912" s="159"/>
      <c r="H912" s="159"/>
      <c r="I912" s="159"/>
      <c r="J912" s="159"/>
      <c r="K912" s="126"/>
    </row>
    <row r="913" spans="1:11" s="155" customFormat="1" x14ac:dyDescent="0.2">
      <c r="A913" s="47"/>
      <c r="B913" s="159"/>
      <c r="C913" s="159"/>
      <c r="D913" s="159"/>
      <c r="E913" s="159"/>
      <c r="F913" s="159"/>
      <c r="G913" s="159"/>
      <c r="H913" s="159"/>
      <c r="I913" s="159"/>
      <c r="J913" s="159"/>
      <c r="K913" s="126"/>
    </row>
    <row r="914" spans="1:11" s="155" customFormat="1" x14ac:dyDescent="0.2">
      <c r="A914" s="47"/>
      <c r="B914" s="159"/>
      <c r="C914" s="159"/>
      <c r="D914" s="159"/>
      <c r="E914" s="159"/>
      <c r="F914" s="159"/>
      <c r="G914" s="159"/>
      <c r="H914" s="159"/>
      <c r="I914" s="159"/>
      <c r="J914" s="159"/>
      <c r="K914" s="126"/>
    </row>
    <row r="915" spans="1:11" s="155" customFormat="1" x14ac:dyDescent="0.2">
      <c r="A915" s="47"/>
      <c r="B915" s="159"/>
      <c r="C915" s="159"/>
      <c r="D915" s="159"/>
      <c r="E915" s="159"/>
      <c r="F915" s="159"/>
      <c r="G915" s="159"/>
      <c r="H915" s="159"/>
      <c r="I915" s="159"/>
      <c r="J915" s="159"/>
      <c r="K915" s="126"/>
    </row>
    <row r="916" spans="1:11" s="155" customFormat="1" x14ac:dyDescent="0.2">
      <c r="A916" s="47"/>
      <c r="B916" s="159"/>
      <c r="C916" s="159"/>
      <c r="D916" s="159"/>
      <c r="E916" s="159"/>
      <c r="F916" s="159"/>
      <c r="G916" s="159"/>
      <c r="H916" s="159"/>
      <c r="I916" s="159"/>
      <c r="J916" s="159"/>
      <c r="K916" s="126"/>
    </row>
    <row r="917" spans="1:11" s="155" customFormat="1" x14ac:dyDescent="0.2">
      <c r="A917" s="47"/>
      <c r="B917" s="159"/>
      <c r="C917" s="159"/>
      <c r="D917" s="159"/>
      <c r="E917" s="159"/>
      <c r="F917" s="159"/>
      <c r="G917" s="159"/>
      <c r="H917" s="159"/>
      <c r="I917" s="159"/>
      <c r="J917" s="159"/>
      <c r="K917" s="126"/>
    </row>
    <row r="918" spans="1:11" s="155" customFormat="1" x14ac:dyDescent="0.2">
      <c r="A918" s="47"/>
      <c r="B918" s="159"/>
      <c r="C918" s="159"/>
      <c r="D918" s="159"/>
      <c r="E918" s="159"/>
      <c r="F918" s="159"/>
      <c r="G918" s="159"/>
      <c r="H918" s="159"/>
      <c r="I918" s="159"/>
      <c r="J918" s="159"/>
      <c r="K918" s="126"/>
    </row>
    <row r="919" spans="1:11" s="155" customFormat="1" x14ac:dyDescent="0.2">
      <c r="A919" s="47"/>
      <c r="B919" s="159"/>
      <c r="C919" s="159"/>
      <c r="D919" s="159"/>
      <c r="E919" s="159"/>
      <c r="F919" s="159"/>
      <c r="G919" s="159"/>
      <c r="H919" s="159"/>
      <c r="I919" s="159"/>
      <c r="J919" s="159"/>
      <c r="K919" s="126"/>
    </row>
    <row r="920" spans="1:11" s="155" customFormat="1" x14ac:dyDescent="0.2">
      <c r="A920" s="47"/>
      <c r="B920" s="159"/>
      <c r="C920" s="159"/>
      <c r="D920" s="159"/>
      <c r="E920" s="159"/>
      <c r="F920" s="159"/>
      <c r="G920" s="159"/>
      <c r="H920" s="159"/>
      <c r="I920" s="159"/>
      <c r="J920" s="159"/>
      <c r="K920" s="126"/>
    </row>
    <row r="921" spans="1:11" s="155" customFormat="1" x14ac:dyDescent="0.2">
      <c r="A921" s="47"/>
      <c r="B921" s="159"/>
      <c r="C921" s="159"/>
      <c r="D921" s="159"/>
      <c r="E921" s="159"/>
      <c r="F921" s="159"/>
      <c r="G921" s="159"/>
      <c r="H921" s="159"/>
      <c r="I921" s="159"/>
      <c r="J921" s="159"/>
      <c r="K921" s="126"/>
    </row>
    <row r="922" spans="1:11" s="155" customFormat="1" x14ac:dyDescent="0.2">
      <c r="A922" s="47"/>
      <c r="B922" s="159"/>
      <c r="C922" s="159"/>
      <c r="D922" s="159"/>
      <c r="E922" s="159"/>
      <c r="F922" s="159"/>
      <c r="G922" s="159"/>
      <c r="H922" s="159"/>
      <c r="I922" s="159"/>
      <c r="J922" s="159"/>
      <c r="K922" s="126"/>
    </row>
    <row r="923" spans="1:11" s="155" customFormat="1" x14ac:dyDescent="0.2">
      <c r="A923" s="47"/>
      <c r="B923" s="159"/>
      <c r="C923" s="159"/>
      <c r="D923" s="159"/>
      <c r="E923" s="159"/>
      <c r="F923" s="159"/>
      <c r="G923" s="159"/>
      <c r="H923" s="159"/>
      <c r="I923" s="159"/>
      <c r="J923" s="159"/>
      <c r="K923" s="126"/>
    </row>
    <row r="924" spans="1:11" x14ac:dyDescent="0.2">
      <c r="A924" s="36"/>
      <c r="B924" s="159"/>
      <c r="C924" s="162"/>
      <c r="D924" s="159"/>
      <c r="E924" s="162"/>
      <c r="F924" s="162"/>
      <c r="G924" s="162"/>
      <c r="H924" s="162"/>
      <c r="I924" s="162"/>
      <c r="J924" s="162"/>
      <c r="K924" s="126"/>
    </row>
    <row r="925" spans="1:11" x14ac:dyDescent="0.2">
      <c r="A925" s="36"/>
      <c r="B925" s="159"/>
      <c r="C925" s="162"/>
      <c r="D925" s="159"/>
      <c r="E925" s="162"/>
      <c r="F925" s="162"/>
      <c r="G925" s="162"/>
      <c r="H925" s="162"/>
      <c r="I925" s="162"/>
      <c r="J925" s="162"/>
      <c r="K925" s="126"/>
    </row>
    <row r="926" spans="1:11" x14ac:dyDescent="0.2">
      <c r="A926" s="36"/>
      <c r="B926" s="159"/>
      <c r="C926" s="162"/>
      <c r="D926" s="159"/>
      <c r="E926" s="162"/>
      <c r="F926" s="162"/>
      <c r="G926" s="162"/>
      <c r="H926" s="162"/>
      <c r="I926" s="162"/>
      <c r="J926" s="162"/>
      <c r="K926" s="17"/>
    </row>
    <row r="927" spans="1:11" x14ac:dyDescent="0.2">
      <c r="A927" s="36"/>
      <c r="B927" s="159"/>
      <c r="C927" s="162"/>
      <c r="D927" s="159"/>
      <c r="E927" s="162"/>
      <c r="F927" s="162"/>
      <c r="G927" s="162"/>
      <c r="H927" s="162"/>
      <c r="I927" s="162"/>
      <c r="J927" s="162"/>
      <c r="K927" s="17"/>
    </row>
    <row r="928" spans="1:11" x14ac:dyDescent="0.2">
      <c r="A928" s="36"/>
      <c r="B928" s="159"/>
      <c r="C928" s="162"/>
      <c r="D928" s="159"/>
      <c r="E928" s="162"/>
      <c r="F928" s="162"/>
      <c r="G928" s="162"/>
      <c r="H928" s="162"/>
      <c r="I928" s="162"/>
      <c r="J928" s="162"/>
      <c r="K928" s="17"/>
    </row>
    <row r="929" spans="1:11" x14ac:dyDescent="0.2">
      <c r="A929" s="36"/>
      <c r="B929" s="159"/>
      <c r="C929" s="162"/>
      <c r="D929" s="162"/>
      <c r="E929" s="162"/>
      <c r="F929" s="162"/>
      <c r="G929" s="162"/>
      <c r="H929" s="162"/>
      <c r="I929" s="162"/>
      <c r="J929" s="162"/>
      <c r="K929" s="17"/>
    </row>
    <row r="930" spans="1:11" x14ac:dyDescent="0.2">
      <c r="A930" s="36"/>
      <c r="B930" s="159"/>
      <c r="C930" s="162"/>
      <c r="D930" s="162"/>
      <c r="E930" s="162"/>
      <c r="F930" s="162"/>
      <c r="G930" s="162"/>
      <c r="H930" s="162"/>
      <c r="I930" s="162"/>
      <c r="J930" s="162"/>
      <c r="K930" s="17"/>
    </row>
    <row r="931" spans="1:11" x14ac:dyDescent="0.2">
      <c r="A931" s="2"/>
      <c r="B931" s="159"/>
      <c r="C931" s="162"/>
      <c r="D931" s="162"/>
      <c r="E931" s="162"/>
      <c r="F931" s="162"/>
      <c r="G931" s="162"/>
      <c r="H931" s="162"/>
      <c r="I931" s="162"/>
      <c r="J931" s="162"/>
      <c r="K931" s="17"/>
    </row>
    <row r="932" spans="1:11" x14ac:dyDescent="0.2">
      <c r="A932" s="2"/>
      <c r="B932" s="159"/>
      <c r="C932" s="162"/>
      <c r="D932" s="162"/>
      <c r="E932" s="162"/>
      <c r="F932" s="162"/>
      <c r="G932" s="162"/>
      <c r="H932" s="162"/>
      <c r="I932" s="162"/>
      <c r="J932" s="162"/>
      <c r="K932" s="17"/>
    </row>
    <row r="933" spans="1:11" x14ac:dyDescent="0.2">
      <c r="D933" s="162"/>
      <c r="K933" s="17"/>
    </row>
    <row r="934" spans="1:11" x14ac:dyDescent="0.2">
      <c r="D934" s="162"/>
      <c r="K934" s="17"/>
    </row>
    <row r="935" spans="1:11" x14ac:dyDescent="0.2">
      <c r="D935" s="162"/>
    </row>
    <row r="936" spans="1:11" x14ac:dyDescent="0.2">
      <c r="B936" s="50"/>
      <c r="C936" s="50"/>
      <c r="D936" s="162"/>
      <c r="E936" s="50"/>
      <c r="F936" s="50"/>
      <c r="G936" s="50"/>
      <c r="H936" s="50"/>
      <c r="I936" s="50"/>
      <c r="J936" s="50"/>
      <c r="K936" s="50"/>
    </row>
    <row r="937" spans="1:11" x14ac:dyDescent="0.2">
      <c r="B937" s="50"/>
      <c r="C937" s="50"/>
      <c r="D937" s="162"/>
      <c r="E937" s="50"/>
      <c r="F937" s="50"/>
      <c r="G937" s="50"/>
      <c r="H937" s="50"/>
      <c r="I937" s="50"/>
      <c r="J937" s="50"/>
      <c r="K937" s="50"/>
    </row>
  </sheetData>
  <mergeCells count="49">
    <mergeCell ref="AB857:AB858"/>
    <mergeCell ref="X13:X16"/>
    <mergeCell ref="X857:X858"/>
    <mergeCell ref="Y13:Y16"/>
    <mergeCell ref="Y857:Y858"/>
    <mergeCell ref="AA13:AA16"/>
    <mergeCell ref="AA857:AA858"/>
    <mergeCell ref="Z857:Z858"/>
    <mergeCell ref="T13:T16"/>
    <mergeCell ref="L12:AB12"/>
    <mergeCell ref="A10:AB10"/>
    <mergeCell ref="Z13:Z16"/>
    <mergeCell ref="W13:W16"/>
    <mergeCell ref="AB13:AB16"/>
    <mergeCell ref="C12:C16"/>
    <mergeCell ref="D12:D16"/>
    <mergeCell ref="A11:K11"/>
    <mergeCell ref="M13:M16"/>
    <mergeCell ref="A12:A16"/>
    <mergeCell ref="B12:B16"/>
    <mergeCell ref="I867:K867"/>
    <mergeCell ref="K12:K16"/>
    <mergeCell ref="E12:J16"/>
    <mergeCell ref="E859:J859"/>
    <mergeCell ref="Q857:Q858"/>
    <mergeCell ref="P13:P16"/>
    <mergeCell ref="Q13:Q16"/>
    <mergeCell ref="J862:K862"/>
    <mergeCell ref="J861:K861"/>
    <mergeCell ref="J860:K860"/>
    <mergeCell ref="J864:K864"/>
    <mergeCell ref="E17:J17"/>
    <mergeCell ref="L13:L16"/>
    <mergeCell ref="W857:W858"/>
    <mergeCell ref="V13:V16"/>
    <mergeCell ref="J7:V7"/>
    <mergeCell ref="V857:V858"/>
    <mergeCell ref="J1:V1"/>
    <mergeCell ref="J2:V2"/>
    <mergeCell ref="K3:V3"/>
    <mergeCell ref="N13:N16"/>
    <mergeCell ref="O13:O16"/>
    <mergeCell ref="J6:V6"/>
    <mergeCell ref="R857:R858"/>
    <mergeCell ref="U13:U16"/>
    <mergeCell ref="U857:U858"/>
    <mergeCell ref="K8:V8"/>
    <mergeCell ref="S13:S16"/>
    <mergeCell ref="R13:R16"/>
  </mergeCells>
  <phoneticPr fontId="0" type="noConversion"/>
  <printOptions gridLines="1"/>
  <pageMargins left="0.39370078740157483" right="0.39370078740157483" top="0.35433070866141736" bottom="0.19685039370078741" header="0.19685039370078741" footer="0"/>
  <pageSetup paperSize="9" scale="50" orientation="portrait" r:id="rId1"/>
  <headerFooter alignWithMargins="0">
    <oddFooter>&amp;C&amp;P</oddFooter>
  </headerFooter>
  <rowBreaks count="2" manualBreakCount="2">
    <brk id="699" max="27" man="1"/>
    <brk id="767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5"/>
  <sheetViews>
    <sheetView topLeftCell="B406" zoomScaleNormal="100" workbookViewId="0">
      <selection activeCell="B424" sqref="B424"/>
    </sheetView>
  </sheetViews>
  <sheetFormatPr defaultRowHeight="12.75" x14ac:dyDescent="0.2"/>
  <cols>
    <col min="1" max="1" width="5" style="166" hidden="1" customWidth="1"/>
    <col min="2" max="2" width="63.85546875" style="169" customWidth="1"/>
    <col min="3" max="3" width="5.5703125" style="169" customWidth="1"/>
    <col min="4" max="4" width="2.85546875" style="356" customWidth="1"/>
    <col min="5" max="5" width="3.28515625" style="356" customWidth="1"/>
    <col min="6" max="6" width="2.28515625" style="356" customWidth="1"/>
    <col min="7" max="7" width="6.28515625" style="169" customWidth="1"/>
    <col min="8" max="8" width="3.42578125" style="169" customWidth="1"/>
    <col min="9" max="9" width="8.7109375" style="356" customWidth="1"/>
    <col min="10" max="13" width="15.85546875" style="169" hidden="1" customWidth="1"/>
    <col min="14" max="14" width="21" style="169" hidden="1" customWidth="1"/>
    <col min="15" max="17" width="21.140625" style="169" hidden="1" customWidth="1"/>
    <col min="18" max="18" width="21.140625" style="169" customWidth="1"/>
    <col min="19" max="19" width="21.140625" style="169" hidden="1" customWidth="1"/>
    <col min="20" max="21" width="17.140625" style="169" hidden="1" customWidth="1"/>
    <col min="22" max="22" width="20.7109375" style="169" hidden="1" customWidth="1"/>
    <col min="23" max="23" width="19.5703125" style="169" customWidth="1"/>
    <col min="24" max="24" width="18.28515625" style="169" hidden="1" customWidth="1"/>
    <col min="25" max="25" width="20.5703125" style="169" hidden="1" customWidth="1"/>
    <col min="26" max="26" width="22.28515625" style="169" customWidth="1"/>
    <col min="27" max="16384" width="9.140625" style="169"/>
  </cols>
  <sheetData>
    <row r="1" spans="1:26" ht="15.75" customHeight="1" x14ac:dyDescent="0.25">
      <c r="B1" s="167"/>
      <c r="C1" s="167"/>
      <c r="D1" s="168"/>
      <c r="E1" s="168"/>
      <c r="F1" s="168"/>
      <c r="G1" s="167"/>
      <c r="H1" s="167"/>
      <c r="I1" s="543" t="s">
        <v>407</v>
      </c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167"/>
      <c r="Y1" s="167"/>
      <c r="Z1" s="167"/>
    </row>
    <row r="2" spans="1:26" ht="18" customHeight="1" x14ac:dyDescent="0.25">
      <c r="B2" s="167"/>
      <c r="C2" s="167"/>
      <c r="D2" s="168"/>
      <c r="E2" s="168"/>
      <c r="F2" s="168"/>
      <c r="G2" s="167"/>
      <c r="H2" s="167"/>
      <c r="I2" s="543" t="s">
        <v>408</v>
      </c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167"/>
      <c r="Y2" s="167"/>
      <c r="Z2" s="167"/>
    </row>
    <row r="3" spans="1:26" ht="20.25" customHeight="1" x14ac:dyDescent="0.25">
      <c r="B3" s="167"/>
      <c r="C3" s="167"/>
      <c r="D3" s="168"/>
      <c r="E3" s="168"/>
      <c r="F3" s="168"/>
      <c r="G3" s="167"/>
      <c r="H3" s="167"/>
      <c r="I3" s="51"/>
      <c r="J3" s="544" t="s">
        <v>467</v>
      </c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167"/>
      <c r="Y3" s="167"/>
      <c r="Z3" s="167"/>
    </row>
    <row r="4" spans="1:26" x14ac:dyDescent="0.2">
      <c r="B4" s="167"/>
      <c r="C4" s="167"/>
      <c r="D4" s="168"/>
      <c r="E4" s="168"/>
      <c r="F4" s="168"/>
      <c r="G4" s="167"/>
      <c r="H4" s="167"/>
      <c r="I4" s="168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</row>
    <row r="5" spans="1:26" x14ac:dyDescent="0.2">
      <c r="B5" s="167"/>
      <c r="C5" s="167"/>
      <c r="D5" s="168"/>
      <c r="E5" s="168"/>
      <c r="F5" s="168"/>
      <c r="G5" s="167"/>
      <c r="H5" s="167"/>
      <c r="I5" s="168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</row>
    <row r="6" spans="1:26" ht="15.75" customHeight="1" x14ac:dyDescent="0.25">
      <c r="B6" s="167"/>
      <c r="C6" s="167"/>
      <c r="D6" s="168"/>
      <c r="E6" s="168"/>
      <c r="F6" s="168"/>
      <c r="G6" s="167"/>
      <c r="H6" s="167"/>
      <c r="I6" s="168"/>
      <c r="J6" s="167"/>
      <c r="K6" s="167"/>
      <c r="L6" s="543" t="s">
        <v>464</v>
      </c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  <c r="X6" s="167"/>
      <c r="Y6" s="167"/>
      <c r="Z6" s="167"/>
    </row>
    <row r="7" spans="1:26" ht="24" customHeight="1" x14ac:dyDescent="0.25">
      <c r="B7" s="167"/>
      <c r="C7" s="167"/>
      <c r="D7" s="168"/>
      <c r="E7" s="168"/>
      <c r="F7" s="168"/>
      <c r="G7" s="167"/>
      <c r="H7" s="167"/>
      <c r="I7" s="168"/>
      <c r="J7" s="167"/>
      <c r="K7" s="167"/>
      <c r="L7" s="543" t="s">
        <v>201</v>
      </c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167"/>
      <c r="Y7" s="167"/>
      <c r="Z7" s="167"/>
    </row>
    <row r="8" spans="1:26" ht="21" customHeight="1" x14ac:dyDescent="0.25">
      <c r="B8" s="167"/>
      <c r="C8" s="167"/>
      <c r="D8" s="168"/>
      <c r="E8" s="168"/>
      <c r="F8" s="168"/>
      <c r="G8" s="167"/>
      <c r="H8" s="167"/>
      <c r="I8" s="168"/>
      <c r="J8" s="167"/>
      <c r="K8" s="167"/>
      <c r="L8" s="544" t="s">
        <v>390</v>
      </c>
      <c r="M8" s="544"/>
      <c r="N8" s="544"/>
      <c r="O8" s="544"/>
      <c r="P8" s="544"/>
      <c r="Q8" s="544"/>
      <c r="R8" s="544"/>
      <c r="S8" s="544"/>
      <c r="T8" s="544"/>
      <c r="U8" s="544"/>
      <c r="V8" s="544"/>
      <c r="W8" s="544"/>
      <c r="X8" s="167"/>
      <c r="Y8" s="167"/>
      <c r="Z8" s="167"/>
    </row>
    <row r="9" spans="1:26" x14ac:dyDescent="0.2">
      <c r="B9" s="167"/>
      <c r="C9" s="167"/>
      <c r="D9" s="168"/>
      <c r="E9" s="168"/>
      <c r="F9" s="168"/>
      <c r="G9" s="167"/>
      <c r="H9" s="167"/>
      <c r="I9" s="168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</row>
    <row r="10" spans="1:26" ht="68.25" customHeight="1" x14ac:dyDescent="0.2">
      <c r="B10" s="594" t="s">
        <v>271</v>
      </c>
      <c r="C10" s="594"/>
      <c r="D10" s="594"/>
      <c r="E10" s="594"/>
      <c r="F10" s="594"/>
      <c r="G10" s="594"/>
      <c r="H10" s="594"/>
      <c r="I10" s="594"/>
      <c r="J10" s="594"/>
      <c r="K10" s="594"/>
      <c r="L10" s="594"/>
      <c r="M10" s="594"/>
      <c r="N10" s="594"/>
      <c r="O10" s="594"/>
      <c r="P10" s="594"/>
      <c r="Q10" s="594"/>
      <c r="R10" s="594"/>
      <c r="S10" s="594"/>
      <c r="T10" s="594"/>
      <c r="U10" s="594"/>
      <c r="V10" s="594"/>
      <c r="W10" s="594"/>
      <c r="X10" s="594"/>
      <c r="Y10" s="594"/>
      <c r="Z10" s="594"/>
    </row>
    <row r="11" spans="1:26" x14ac:dyDescent="0.2">
      <c r="B11" s="170"/>
      <c r="C11" s="170"/>
      <c r="D11" s="170"/>
      <c r="E11" s="170"/>
      <c r="F11" s="170"/>
      <c r="G11" s="170"/>
      <c r="H11" s="170"/>
      <c r="I11" s="170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</row>
    <row r="12" spans="1:26" ht="21.75" customHeight="1" x14ac:dyDescent="0.2">
      <c r="A12" s="530" t="s">
        <v>131</v>
      </c>
      <c r="B12" s="607" t="s">
        <v>81</v>
      </c>
      <c r="C12" s="601" t="s">
        <v>132</v>
      </c>
      <c r="D12" s="602"/>
      <c r="E12" s="602"/>
      <c r="F12" s="602"/>
      <c r="G12" s="602"/>
      <c r="H12" s="603"/>
      <c r="I12" s="607" t="s">
        <v>238</v>
      </c>
      <c r="J12" s="595" t="s">
        <v>233</v>
      </c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6"/>
      <c r="Z12" s="597"/>
    </row>
    <row r="13" spans="1:26" ht="57.75" customHeight="1" x14ac:dyDescent="0.2">
      <c r="A13" s="530"/>
      <c r="B13" s="608"/>
      <c r="C13" s="604"/>
      <c r="D13" s="605"/>
      <c r="E13" s="605"/>
      <c r="F13" s="605"/>
      <c r="G13" s="605"/>
      <c r="H13" s="606"/>
      <c r="I13" s="608"/>
      <c r="J13" s="533" t="s">
        <v>234</v>
      </c>
      <c r="K13" s="533"/>
      <c r="L13" s="171" t="s">
        <v>235</v>
      </c>
      <c r="M13" s="171" t="s">
        <v>250</v>
      </c>
      <c r="N13" s="171" t="s">
        <v>235</v>
      </c>
      <c r="O13" s="172" t="s">
        <v>262</v>
      </c>
      <c r="P13" s="172" t="s">
        <v>250</v>
      </c>
      <c r="Q13" s="171" t="s">
        <v>235</v>
      </c>
      <c r="R13" s="171" t="s">
        <v>235</v>
      </c>
      <c r="S13" s="172" t="s">
        <v>262</v>
      </c>
      <c r="T13" s="173" t="s">
        <v>269</v>
      </c>
      <c r="U13" s="173" t="s">
        <v>269</v>
      </c>
      <c r="V13" s="172" t="s">
        <v>262</v>
      </c>
      <c r="W13" s="172" t="s">
        <v>262</v>
      </c>
      <c r="X13" s="173" t="s">
        <v>269</v>
      </c>
      <c r="Y13" s="535" t="s">
        <v>269</v>
      </c>
      <c r="Z13" s="172" t="s">
        <v>269</v>
      </c>
    </row>
    <row r="14" spans="1:26" s="179" customFormat="1" x14ac:dyDescent="0.2">
      <c r="A14" s="174">
        <v>1</v>
      </c>
      <c r="B14" s="174">
        <v>1</v>
      </c>
      <c r="C14" s="600" t="s">
        <v>133</v>
      </c>
      <c r="D14" s="600"/>
      <c r="E14" s="600"/>
      <c r="F14" s="600"/>
      <c r="G14" s="600"/>
      <c r="H14" s="600"/>
      <c r="I14" s="529" t="s">
        <v>134</v>
      </c>
      <c r="J14" s="175">
        <v>4</v>
      </c>
      <c r="K14" s="174"/>
      <c r="L14" s="176">
        <v>4</v>
      </c>
      <c r="M14" s="176">
        <v>4</v>
      </c>
      <c r="N14" s="176">
        <v>4</v>
      </c>
      <c r="O14" s="177">
        <v>5</v>
      </c>
      <c r="P14" s="177">
        <v>5</v>
      </c>
      <c r="Q14" s="176">
        <v>4</v>
      </c>
      <c r="R14" s="176">
        <v>4</v>
      </c>
      <c r="S14" s="177">
        <v>5</v>
      </c>
      <c r="T14" s="178">
        <v>6</v>
      </c>
      <c r="U14" s="178">
        <v>6</v>
      </c>
      <c r="V14" s="177">
        <v>5</v>
      </c>
      <c r="W14" s="177">
        <v>5</v>
      </c>
      <c r="X14" s="178">
        <v>6</v>
      </c>
      <c r="Y14" s="536">
        <v>6</v>
      </c>
      <c r="Z14" s="177">
        <v>6</v>
      </c>
    </row>
    <row r="15" spans="1:26" ht="9" customHeight="1" x14ac:dyDescent="0.2">
      <c r="A15" s="180"/>
      <c r="B15" s="181"/>
      <c r="C15" s="530"/>
      <c r="D15" s="531"/>
      <c r="E15" s="531"/>
      <c r="F15" s="531"/>
      <c r="G15" s="182"/>
      <c r="H15" s="183"/>
      <c r="I15" s="184"/>
      <c r="J15" s="185"/>
      <c r="K15" s="186"/>
      <c r="L15" s="186"/>
      <c r="M15" s="186"/>
      <c r="N15" s="186"/>
      <c r="O15" s="187"/>
      <c r="P15" s="187"/>
      <c r="Q15" s="186"/>
      <c r="R15" s="186"/>
      <c r="S15" s="187"/>
      <c r="T15" s="187"/>
      <c r="U15" s="187"/>
      <c r="V15" s="187"/>
      <c r="W15" s="187"/>
      <c r="X15" s="187"/>
      <c r="Y15" s="186"/>
      <c r="Z15" s="187"/>
    </row>
    <row r="16" spans="1:26" ht="18.75" x14ac:dyDescent="0.2">
      <c r="A16" s="188"/>
      <c r="B16" s="189" t="s">
        <v>128</v>
      </c>
      <c r="C16" s="190"/>
      <c r="D16" s="191"/>
      <c r="E16" s="191"/>
      <c r="F16" s="191"/>
      <c r="G16" s="192"/>
      <c r="H16" s="193"/>
      <c r="I16" s="194"/>
      <c r="J16" s="195" t="e">
        <f>J17+J111+J130+J142+J153+J165+J182+J187+J193+J201+J228+J238+J331+J223+J88+J351+J371+J393</f>
        <v>#REF!</v>
      </c>
      <c r="K16" s="196" t="e">
        <f>K17+K111+K130+K142+K153+K165+K182+K187+K193+K201+K228+K238+K331+K223+K88+K351+K371+K393</f>
        <v>#REF!</v>
      </c>
      <c r="L16" s="196" t="e">
        <f t="shared" ref="L16:Z16" si="0">L17+L111+L130+L142+L153+L165+L182+L187+L193+L201+L228+L238+L331+L223+L88+L351+L371+L393+L385+L403+L408+L420</f>
        <v>#REF!</v>
      </c>
      <c r="M16" s="196" t="e">
        <f t="shared" si="0"/>
        <v>#REF!</v>
      </c>
      <c r="N16" s="196">
        <f t="shared" si="0"/>
        <v>1971236521.7500002</v>
      </c>
      <c r="O16" s="197">
        <f t="shared" si="0"/>
        <v>2096626981.0599999</v>
      </c>
      <c r="P16" s="197">
        <f t="shared" si="0"/>
        <v>35426976.670000002</v>
      </c>
      <c r="Q16" s="196">
        <f t="shared" si="0"/>
        <v>63998564.610000007</v>
      </c>
      <c r="R16" s="196">
        <f t="shared" si="0"/>
        <v>2035235086.3599999</v>
      </c>
      <c r="S16" s="197">
        <f t="shared" si="0"/>
        <v>1962426343.9099998</v>
      </c>
      <c r="T16" s="197">
        <f t="shared" si="0"/>
        <v>2028945956.2900002</v>
      </c>
      <c r="U16" s="197">
        <f t="shared" si="0"/>
        <v>-3259978.01</v>
      </c>
      <c r="V16" s="197">
        <f t="shared" si="0"/>
        <v>9666144.8499999996</v>
      </c>
      <c r="W16" s="197">
        <f t="shared" si="0"/>
        <v>1977372488.76</v>
      </c>
      <c r="X16" s="197">
        <f t="shared" si="0"/>
        <v>1902379979.6599996</v>
      </c>
      <c r="Y16" s="196">
        <f t="shared" si="0"/>
        <v>11052635.24</v>
      </c>
      <c r="Z16" s="197">
        <f t="shared" si="0"/>
        <v>1913432614.8999999</v>
      </c>
    </row>
    <row r="17" spans="1:26" ht="53.25" customHeight="1" x14ac:dyDescent="0.2">
      <c r="A17" s="188"/>
      <c r="B17" s="198" t="s">
        <v>340</v>
      </c>
      <c r="C17" s="199" t="s">
        <v>69</v>
      </c>
      <c r="D17" s="200" t="s">
        <v>135</v>
      </c>
      <c r="E17" s="200" t="s">
        <v>135</v>
      </c>
      <c r="F17" s="200" t="s">
        <v>135</v>
      </c>
      <c r="G17" s="200" t="s">
        <v>136</v>
      </c>
      <c r="H17" s="201" t="s">
        <v>135</v>
      </c>
      <c r="I17" s="202"/>
      <c r="J17" s="195" t="e">
        <f>J18+#REF!+J65</f>
        <v>#REF!</v>
      </c>
      <c r="K17" s="196" t="e">
        <f>K18+#REF!+K65</f>
        <v>#REF!</v>
      </c>
      <c r="L17" s="196">
        <f t="shared" ref="L17:Z17" si="1">L18+L65</f>
        <v>334685729.33000004</v>
      </c>
      <c r="M17" s="196">
        <f t="shared" si="1"/>
        <v>9133581.6799999997</v>
      </c>
      <c r="N17" s="196">
        <f t="shared" si="1"/>
        <v>367534422.13</v>
      </c>
      <c r="O17" s="197">
        <f t="shared" si="1"/>
        <v>396035639.84999996</v>
      </c>
      <c r="P17" s="197">
        <f t="shared" si="1"/>
        <v>-70786.55</v>
      </c>
      <c r="Q17" s="196">
        <f t="shared" si="1"/>
        <v>8395463</v>
      </c>
      <c r="R17" s="196">
        <f t="shared" si="1"/>
        <v>375929885.13</v>
      </c>
      <c r="S17" s="197">
        <f t="shared" si="1"/>
        <v>309677587.02999997</v>
      </c>
      <c r="T17" s="197">
        <f t="shared" si="1"/>
        <v>221359633.58000001</v>
      </c>
      <c r="U17" s="197">
        <f t="shared" si="1"/>
        <v>-33268.559999999998</v>
      </c>
      <c r="V17" s="197">
        <f t="shared" si="1"/>
        <v>0</v>
      </c>
      <c r="W17" s="197">
        <f t="shared" si="1"/>
        <v>309677587.02999997</v>
      </c>
      <c r="X17" s="197">
        <f t="shared" si="1"/>
        <v>220666365.02000001</v>
      </c>
      <c r="Y17" s="196">
        <f t="shared" si="1"/>
        <v>0</v>
      </c>
      <c r="Z17" s="197">
        <f t="shared" si="1"/>
        <v>220666365.02000001</v>
      </c>
    </row>
    <row r="18" spans="1:26" s="206" customFormat="1" ht="29.25" customHeight="1" x14ac:dyDescent="0.2">
      <c r="A18" s="204"/>
      <c r="B18" s="205" t="s">
        <v>341</v>
      </c>
      <c r="C18" s="199" t="s">
        <v>69</v>
      </c>
      <c r="D18" s="200" t="s">
        <v>137</v>
      </c>
      <c r="E18" s="200" t="s">
        <v>135</v>
      </c>
      <c r="F18" s="200" t="s">
        <v>135</v>
      </c>
      <c r="G18" s="200" t="s">
        <v>136</v>
      </c>
      <c r="H18" s="201" t="s">
        <v>135</v>
      </c>
      <c r="I18" s="202"/>
      <c r="J18" s="195" t="e">
        <f>J24+J29+#REF!+J19+J32+#REF!+#REF!+J35+#REF!+#REF!+#REF!</f>
        <v>#REF!</v>
      </c>
      <c r="K18" s="196" t="e">
        <f>K24+K29+#REF!+K19+K32+#REF!+#REF!+K35+#REF!+#REF!+#REF!</f>
        <v>#REF!</v>
      </c>
      <c r="L18" s="196">
        <f>L24+L29+L19+L32+L35+L47+L44+L41</f>
        <v>284014241.49000001</v>
      </c>
      <c r="M18" s="196">
        <f>M24+M29+M19+M32+M35+M47+M44+M41</f>
        <v>9038312.8200000003</v>
      </c>
      <c r="N18" s="196">
        <f>N24+N29+N19+N32+N35+N47+N44+N41+N53+N56+N38+N61+N50</f>
        <v>295190665.43000001</v>
      </c>
      <c r="O18" s="196">
        <f t="shared" ref="O18:Z18" si="2">O24+O29+O19+O32+O35+O47+O44+O41+O53+O56+O38+O61+O50</f>
        <v>339942293.27999997</v>
      </c>
      <c r="P18" s="196">
        <f t="shared" si="2"/>
        <v>0</v>
      </c>
      <c r="Q18" s="196">
        <f t="shared" si="2"/>
        <v>8200667.3799999999</v>
      </c>
      <c r="R18" s="196">
        <f t="shared" si="2"/>
        <v>303391332.81</v>
      </c>
      <c r="S18" s="196">
        <f t="shared" si="2"/>
        <v>255895027.00999999</v>
      </c>
      <c r="T18" s="196">
        <f t="shared" si="2"/>
        <v>168316560.74000001</v>
      </c>
      <c r="U18" s="196">
        <f t="shared" si="2"/>
        <v>0</v>
      </c>
      <c r="V18" s="196">
        <f t="shared" si="2"/>
        <v>0</v>
      </c>
      <c r="W18" s="196">
        <f t="shared" si="2"/>
        <v>255895027.00999999</v>
      </c>
      <c r="X18" s="196">
        <f t="shared" si="2"/>
        <v>168096560.74000001</v>
      </c>
      <c r="Y18" s="196">
        <f t="shared" si="2"/>
        <v>0</v>
      </c>
      <c r="Z18" s="197">
        <f t="shared" si="2"/>
        <v>168096560.74000001</v>
      </c>
    </row>
    <row r="19" spans="1:26" s="206" customFormat="1" ht="25.5" x14ac:dyDescent="0.2">
      <c r="A19" s="204"/>
      <c r="B19" s="213" t="s">
        <v>29</v>
      </c>
      <c r="C19" s="103" t="s">
        <v>69</v>
      </c>
      <c r="D19" s="66" t="s">
        <v>137</v>
      </c>
      <c r="E19" s="72" t="s">
        <v>135</v>
      </c>
      <c r="F19" s="72" t="s">
        <v>135</v>
      </c>
      <c r="G19" s="66" t="s">
        <v>27</v>
      </c>
      <c r="H19" s="67" t="s">
        <v>135</v>
      </c>
      <c r="I19" s="214"/>
      <c r="J19" s="118">
        <f t="shared" ref="J19:X19" si="3">J20+J22</f>
        <v>5729400</v>
      </c>
      <c r="K19" s="209">
        <f t="shared" si="3"/>
        <v>0</v>
      </c>
      <c r="L19" s="209">
        <f t="shared" si="3"/>
        <v>8698560.7400000002</v>
      </c>
      <c r="M19" s="209">
        <f t="shared" si="3"/>
        <v>0</v>
      </c>
      <c r="N19" s="209">
        <f t="shared" si="3"/>
        <v>8698560.7400000002</v>
      </c>
      <c r="O19" s="210">
        <f t="shared" si="3"/>
        <v>8698560.7400000002</v>
      </c>
      <c r="P19" s="210">
        <f t="shared" si="3"/>
        <v>0</v>
      </c>
      <c r="Q19" s="209">
        <f>Q20+Q22</f>
        <v>0</v>
      </c>
      <c r="R19" s="209">
        <f>R20+R22</f>
        <v>8698560.7400000002</v>
      </c>
      <c r="S19" s="210">
        <f t="shared" si="3"/>
        <v>8698560.7400000002</v>
      </c>
      <c r="T19" s="210">
        <f t="shared" si="3"/>
        <v>8698560.7400000002</v>
      </c>
      <c r="U19" s="210">
        <f t="shared" si="3"/>
        <v>0</v>
      </c>
      <c r="V19" s="210">
        <f>V20+V22</f>
        <v>0</v>
      </c>
      <c r="W19" s="210">
        <f>W20+W22</f>
        <v>8698560.7400000002</v>
      </c>
      <c r="X19" s="210">
        <f t="shared" si="3"/>
        <v>8698560.7400000002</v>
      </c>
      <c r="Y19" s="209">
        <f>Y20+Y22</f>
        <v>0</v>
      </c>
      <c r="Z19" s="210">
        <f>Z20+Z22</f>
        <v>8698560.7400000002</v>
      </c>
    </row>
    <row r="20" spans="1:26" s="206" customFormat="1" ht="51" x14ac:dyDescent="0.2">
      <c r="A20" s="204"/>
      <c r="B20" s="212" t="s">
        <v>67</v>
      </c>
      <c r="C20" s="103" t="s">
        <v>69</v>
      </c>
      <c r="D20" s="66" t="s">
        <v>137</v>
      </c>
      <c r="E20" s="72" t="s">
        <v>135</v>
      </c>
      <c r="F20" s="72" t="s">
        <v>135</v>
      </c>
      <c r="G20" s="66" t="s">
        <v>27</v>
      </c>
      <c r="H20" s="67" t="s">
        <v>135</v>
      </c>
      <c r="I20" s="214">
        <v>100</v>
      </c>
      <c r="J20" s="118">
        <f t="shared" ref="J20:Z20" si="4">J21</f>
        <v>5556300</v>
      </c>
      <c r="K20" s="209">
        <f t="shared" si="4"/>
        <v>0</v>
      </c>
      <c r="L20" s="216">
        <f t="shared" si="4"/>
        <v>8605460.7400000002</v>
      </c>
      <c r="M20" s="216">
        <f t="shared" si="4"/>
        <v>0</v>
      </c>
      <c r="N20" s="216">
        <f t="shared" si="4"/>
        <v>8605460.7400000002</v>
      </c>
      <c r="O20" s="216">
        <f t="shared" si="4"/>
        <v>8545460.7400000002</v>
      </c>
      <c r="P20" s="216">
        <f t="shared" si="4"/>
        <v>0</v>
      </c>
      <c r="Q20" s="216">
        <f t="shared" si="4"/>
        <v>-20000</v>
      </c>
      <c r="R20" s="216">
        <f t="shared" si="4"/>
        <v>8585460.7400000002</v>
      </c>
      <c r="S20" s="216">
        <f t="shared" si="4"/>
        <v>8545460.7400000002</v>
      </c>
      <c r="T20" s="216">
        <f t="shared" si="4"/>
        <v>8605460.7400000002</v>
      </c>
      <c r="U20" s="216">
        <f t="shared" si="4"/>
        <v>0</v>
      </c>
      <c r="V20" s="216">
        <f t="shared" si="4"/>
        <v>0</v>
      </c>
      <c r="W20" s="216">
        <f t="shared" si="4"/>
        <v>8545460.7400000002</v>
      </c>
      <c r="X20" s="216">
        <f t="shared" si="4"/>
        <v>8605460.7400000002</v>
      </c>
      <c r="Y20" s="215">
        <f t="shared" si="4"/>
        <v>0</v>
      </c>
      <c r="Z20" s="216">
        <f t="shared" si="4"/>
        <v>8605460.7400000002</v>
      </c>
    </row>
    <row r="21" spans="1:26" s="206" customFormat="1" ht="25.5" x14ac:dyDescent="0.2">
      <c r="A21" s="204"/>
      <c r="B21" s="212" t="s">
        <v>61</v>
      </c>
      <c r="C21" s="103" t="s">
        <v>69</v>
      </c>
      <c r="D21" s="66" t="s">
        <v>137</v>
      </c>
      <c r="E21" s="72" t="s">
        <v>135</v>
      </c>
      <c r="F21" s="72" t="s">
        <v>135</v>
      </c>
      <c r="G21" s="66" t="s">
        <v>27</v>
      </c>
      <c r="H21" s="67" t="s">
        <v>135</v>
      </c>
      <c r="I21" s="214">
        <v>120</v>
      </c>
      <c r="J21" s="118">
        <v>5556300</v>
      </c>
      <c r="K21" s="209">
        <v>0</v>
      </c>
      <c r="L21" s="216">
        <v>8605460.7400000002</v>
      </c>
      <c r="M21" s="216">
        <v>0</v>
      </c>
      <c r="N21" s="216">
        <v>8605460.7400000002</v>
      </c>
      <c r="O21" s="216">
        <v>8545460.7400000002</v>
      </c>
      <c r="P21" s="216">
        <v>0</v>
      </c>
      <c r="Q21" s="216">
        <v>-20000</v>
      </c>
      <c r="R21" s="216">
        <f>Q21+N21</f>
        <v>8585460.7400000002</v>
      </c>
      <c r="S21" s="216">
        <v>8545460.7400000002</v>
      </c>
      <c r="T21" s="216">
        <v>8605460.7400000002</v>
      </c>
      <c r="U21" s="216">
        <v>0</v>
      </c>
      <c r="V21" s="216">
        <v>0</v>
      </c>
      <c r="W21" s="216">
        <v>8545460.7400000002</v>
      </c>
      <c r="X21" s="216">
        <v>8605460.7400000002</v>
      </c>
      <c r="Y21" s="215">
        <v>0</v>
      </c>
      <c r="Z21" s="216">
        <v>8605460.7400000002</v>
      </c>
    </row>
    <row r="22" spans="1:26" s="206" customFormat="1" ht="25.5" x14ac:dyDescent="0.2">
      <c r="A22" s="204"/>
      <c r="B22" s="212" t="s">
        <v>52</v>
      </c>
      <c r="C22" s="103" t="s">
        <v>69</v>
      </c>
      <c r="D22" s="66" t="s">
        <v>137</v>
      </c>
      <c r="E22" s="72" t="s">
        <v>135</v>
      </c>
      <c r="F22" s="72" t="s">
        <v>135</v>
      </c>
      <c r="G22" s="66" t="s">
        <v>27</v>
      </c>
      <c r="H22" s="67" t="s">
        <v>135</v>
      </c>
      <c r="I22" s="214">
        <v>200</v>
      </c>
      <c r="J22" s="118">
        <f t="shared" ref="J22:Z22" si="5">J23</f>
        <v>173100</v>
      </c>
      <c r="K22" s="209">
        <f t="shared" si="5"/>
        <v>0</v>
      </c>
      <c r="L22" s="216">
        <f t="shared" si="5"/>
        <v>93100</v>
      </c>
      <c r="M22" s="216">
        <f t="shared" si="5"/>
        <v>0</v>
      </c>
      <c r="N22" s="216">
        <f t="shared" si="5"/>
        <v>93100</v>
      </c>
      <c r="O22" s="216">
        <f t="shared" si="5"/>
        <v>153100</v>
      </c>
      <c r="P22" s="216">
        <f t="shared" si="5"/>
        <v>0</v>
      </c>
      <c r="Q22" s="216">
        <f t="shared" si="5"/>
        <v>20000</v>
      </c>
      <c r="R22" s="216">
        <f t="shared" si="5"/>
        <v>113100</v>
      </c>
      <c r="S22" s="216">
        <f t="shared" si="5"/>
        <v>153100</v>
      </c>
      <c r="T22" s="216">
        <f t="shared" si="5"/>
        <v>93100</v>
      </c>
      <c r="U22" s="216">
        <f t="shared" si="5"/>
        <v>0</v>
      </c>
      <c r="V22" s="216">
        <f t="shared" si="5"/>
        <v>0</v>
      </c>
      <c r="W22" s="216">
        <f t="shared" si="5"/>
        <v>153100</v>
      </c>
      <c r="X22" s="216">
        <f t="shared" si="5"/>
        <v>93100</v>
      </c>
      <c r="Y22" s="215">
        <f t="shared" si="5"/>
        <v>0</v>
      </c>
      <c r="Z22" s="216">
        <f t="shared" si="5"/>
        <v>93100</v>
      </c>
    </row>
    <row r="23" spans="1:26" s="206" customFormat="1" ht="25.5" x14ac:dyDescent="0.2">
      <c r="A23" s="204"/>
      <c r="B23" s="212" t="s">
        <v>54</v>
      </c>
      <c r="C23" s="103" t="s">
        <v>69</v>
      </c>
      <c r="D23" s="66" t="s">
        <v>137</v>
      </c>
      <c r="E23" s="72" t="s">
        <v>135</v>
      </c>
      <c r="F23" s="72" t="s">
        <v>135</v>
      </c>
      <c r="G23" s="66" t="s">
        <v>27</v>
      </c>
      <c r="H23" s="67" t="s">
        <v>135</v>
      </c>
      <c r="I23" s="214">
        <v>240</v>
      </c>
      <c r="J23" s="118">
        <v>173100</v>
      </c>
      <c r="K23" s="209">
        <v>0</v>
      </c>
      <c r="L23" s="216">
        <v>93100</v>
      </c>
      <c r="M23" s="216">
        <v>0</v>
      </c>
      <c r="N23" s="216">
        <v>93100</v>
      </c>
      <c r="O23" s="216">
        <v>153100</v>
      </c>
      <c r="P23" s="216">
        <v>0</v>
      </c>
      <c r="Q23" s="216">
        <v>20000</v>
      </c>
      <c r="R23" s="216">
        <f>Q23+N23</f>
        <v>113100</v>
      </c>
      <c r="S23" s="216">
        <v>153100</v>
      </c>
      <c r="T23" s="216">
        <v>93100</v>
      </c>
      <c r="U23" s="216">
        <v>0</v>
      </c>
      <c r="V23" s="216">
        <v>0</v>
      </c>
      <c r="W23" s="216">
        <v>153100</v>
      </c>
      <c r="X23" s="216">
        <v>93100</v>
      </c>
      <c r="Y23" s="215">
        <v>0</v>
      </c>
      <c r="Z23" s="216">
        <v>93100</v>
      </c>
    </row>
    <row r="24" spans="1:26" ht="18.75" x14ac:dyDescent="0.2">
      <c r="A24" s="188"/>
      <c r="B24" s="212" t="s">
        <v>10</v>
      </c>
      <c r="C24" s="218" t="s">
        <v>69</v>
      </c>
      <c r="D24" s="148" t="s">
        <v>137</v>
      </c>
      <c r="E24" s="72" t="s">
        <v>135</v>
      </c>
      <c r="F24" s="72" t="s">
        <v>135</v>
      </c>
      <c r="G24" s="148" t="s">
        <v>12</v>
      </c>
      <c r="H24" s="67" t="s">
        <v>135</v>
      </c>
      <c r="I24" s="219"/>
      <c r="J24" s="118" t="e">
        <f>J25+#REF!+J27+#REF!+#REF!</f>
        <v>#REF!</v>
      </c>
      <c r="K24" s="209" t="e">
        <f>K25+#REF!+K27+#REF!+#REF!</f>
        <v>#REF!</v>
      </c>
      <c r="L24" s="209">
        <f t="shared" ref="L24:X24" si="6">L25+L27</f>
        <v>0</v>
      </c>
      <c r="M24" s="209">
        <f t="shared" si="6"/>
        <v>0</v>
      </c>
      <c r="N24" s="209">
        <f t="shared" si="6"/>
        <v>0</v>
      </c>
      <c r="O24" s="210">
        <f t="shared" si="6"/>
        <v>5933100</v>
      </c>
      <c r="P24" s="210">
        <f t="shared" si="6"/>
        <v>0</v>
      </c>
      <c r="Q24" s="209">
        <f>Q25+Q27</f>
        <v>0</v>
      </c>
      <c r="R24" s="209">
        <f>R25+R27</f>
        <v>0</v>
      </c>
      <c r="S24" s="210">
        <f t="shared" si="6"/>
        <v>5933100</v>
      </c>
      <c r="T24" s="210">
        <f t="shared" si="6"/>
        <v>1061900</v>
      </c>
      <c r="U24" s="210">
        <f t="shared" si="6"/>
        <v>0</v>
      </c>
      <c r="V24" s="210">
        <f>V25+V27</f>
        <v>0</v>
      </c>
      <c r="W24" s="210">
        <f>W25+W27</f>
        <v>5933100</v>
      </c>
      <c r="X24" s="210">
        <f t="shared" si="6"/>
        <v>1061900</v>
      </c>
      <c r="Y24" s="209">
        <f>Y25+Y27</f>
        <v>0</v>
      </c>
      <c r="Z24" s="210">
        <f>Z25+Z27</f>
        <v>1061900</v>
      </c>
    </row>
    <row r="25" spans="1:26" ht="25.5" hidden="1" x14ac:dyDescent="0.2">
      <c r="A25" s="188"/>
      <c r="B25" s="212" t="s">
        <v>52</v>
      </c>
      <c r="C25" s="117" t="s">
        <v>69</v>
      </c>
      <c r="D25" s="72" t="s">
        <v>137</v>
      </c>
      <c r="E25" s="72" t="s">
        <v>135</v>
      </c>
      <c r="F25" s="72" t="s">
        <v>135</v>
      </c>
      <c r="G25" s="148" t="s">
        <v>12</v>
      </c>
      <c r="H25" s="67" t="s">
        <v>135</v>
      </c>
      <c r="I25" s="214" t="s">
        <v>53</v>
      </c>
      <c r="J25" s="220">
        <f t="shared" ref="J25:Z25" si="7">J26</f>
        <v>115600</v>
      </c>
      <c r="K25" s="46">
        <f t="shared" si="7"/>
        <v>0</v>
      </c>
      <c r="L25" s="46">
        <f t="shared" si="7"/>
        <v>0</v>
      </c>
      <c r="M25" s="46">
        <f t="shared" si="7"/>
        <v>0</v>
      </c>
      <c r="N25" s="46">
        <f t="shared" si="7"/>
        <v>0</v>
      </c>
      <c r="O25" s="221">
        <f t="shared" si="7"/>
        <v>0</v>
      </c>
      <c r="P25" s="221">
        <f t="shared" si="7"/>
        <v>0</v>
      </c>
      <c r="Q25" s="46">
        <f t="shared" si="7"/>
        <v>0</v>
      </c>
      <c r="R25" s="46">
        <f t="shared" si="7"/>
        <v>0</v>
      </c>
      <c r="S25" s="221">
        <f t="shared" si="7"/>
        <v>0</v>
      </c>
      <c r="T25" s="221">
        <f t="shared" si="7"/>
        <v>0</v>
      </c>
      <c r="U25" s="221">
        <f t="shared" si="7"/>
        <v>0</v>
      </c>
      <c r="V25" s="221">
        <f t="shared" si="7"/>
        <v>0</v>
      </c>
      <c r="W25" s="221">
        <f t="shared" si="7"/>
        <v>0</v>
      </c>
      <c r="X25" s="221">
        <f t="shared" si="7"/>
        <v>0</v>
      </c>
      <c r="Y25" s="46">
        <f t="shared" si="7"/>
        <v>0</v>
      </c>
      <c r="Z25" s="221">
        <f t="shared" si="7"/>
        <v>0</v>
      </c>
    </row>
    <row r="26" spans="1:26" ht="25.5" hidden="1" x14ac:dyDescent="0.2">
      <c r="A26" s="188"/>
      <c r="B26" s="212" t="s">
        <v>54</v>
      </c>
      <c r="C26" s="117" t="s">
        <v>69</v>
      </c>
      <c r="D26" s="72" t="s">
        <v>137</v>
      </c>
      <c r="E26" s="72" t="s">
        <v>135</v>
      </c>
      <c r="F26" s="72" t="s">
        <v>135</v>
      </c>
      <c r="G26" s="148" t="s">
        <v>12</v>
      </c>
      <c r="H26" s="67" t="s">
        <v>135</v>
      </c>
      <c r="I26" s="214" t="s">
        <v>55</v>
      </c>
      <c r="J26" s="220">
        <v>115600</v>
      </c>
      <c r="K26" s="46">
        <v>0</v>
      </c>
      <c r="L26" s="223"/>
      <c r="M26" s="223"/>
      <c r="N26" s="223"/>
      <c r="O26" s="224"/>
      <c r="P26" s="224"/>
      <c r="Q26" s="223"/>
      <c r="R26" s="223"/>
      <c r="S26" s="224"/>
      <c r="T26" s="224"/>
      <c r="U26" s="224"/>
      <c r="V26" s="224"/>
      <c r="W26" s="224"/>
      <c r="X26" s="224"/>
      <c r="Y26" s="223"/>
      <c r="Z26" s="224"/>
    </row>
    <row r="27" spans="1:26" ht="25.5" x14ac:dyDescent="0.2">
      <c r="A27" s="188"/>
      <c r="B27" s="212" t="s">
        <v>21</v>
      </c>
      <c r="C27" s="117" t="s">
        <v>69</v>
      </c>
      <c r="D27" s="72" t="s">
        <v>137</v>
      </c>
      <c r="E27" s="72" t="s">
        <v>135</v>
      </c>
      <c r="F27" s="72" t="s">
        <v>135</v>
      </c>
      <c r="G27" s="148" t="s">
        <v>12</v>
      </c>
      <c r="H27" s="67" t="s">
        <v>135</v>
      </c>
      <c r="I27" s="208">
        <v>600</v>
      </c>
      <c r="J27" s="220">
        <f t="shared" ref="J27:Z27" si="8">J28</f>
        <v>624308</v>
      </c>
      <c r="K27" s="46">
        <f t="shared" si="8"/>
        <v>0</v>
      </c>
      <c r="L27" s="224">
        <f t="shared" si="8"/>
        <v>0</v>
      </c>
      <c r="M27" s="224">
        <f t="shared" si="8"/>
        <v>0</v>
      </c>
      <c r="N27" s="224">
        <f t="shared" si="8"/>
        <v>0</v>
      </c>
      <c r="O27" s="224">
        <f t="shared" si="8"/>
        <v>5933100</v>
      </c>
      <c r="P27" s="224">
        <f t="shared" si="8"/>
        <v>0</v>
      </c>
      <c r="Q27" s="224">
        <f t="shared" si="8"/>
        <v>0</v>
      </c>
      <c r="R27" s="224">
        <f t="shared" si="8"/>
        <v>0</v>
      </c>
      <c r="S27" s="224">
        <f t="shared" si="8"/>
        <v>5933100</v>
      </c>
      <c r="T27" s="224">
        <f t="shared" si="8"/>
        <v>1061900</v>
      </c>
      <c r="U27" s="224">
        <f t="shared" si="8"/>
        <v>0</v>
      </c>
      <c r="V27" s="224">
        <f t="shared" si="8"/>
        <v>0</v>
      </c>
      <c r="W27" s="224">
        <f t="shared" si="8"/>
        <v>5933100</v>
      </c>
      <c r="X27" s="224">
        <f t="shared" si="8"/>
        <v>1061900</v>
      </c>
      <c r="Y27" s="223">
        <f t="shared" si="8"/>
        <v>0</v>
      </c>
      <c r="Z27" s="224">
        <f t="shared" si="8"/>
        <v>1061900</v>
      </c>
    </row>
    <row r="28" spans="1:26" ht="18.75" x14ac:dyDescent="0.2">
      <c r="A28" s="188"/>
      <c r="B28" s="212" t="s">
        <v>22</v>
      </c>
      <c r="C28" s="117" t="s">
        <v>69</v>
      </c>
      <c r="D28" s="72" t="s">
        <v>137</v>
      </c>
      <c r="E28" s="72" t="s">
        <v>135</v>
      </c>
      <c r="F28" s="72" t="s">
        <v>135</v>
      </c>
      <c r="G28" s="72" t="s">
        <v>12</v>
      </c>
      <c r="H28" s="67" t="s">
        <v>135</v>
      </c>
      <c r="I28" s="208" t="s">
        <v>23</v>
      </c>
      <c r="J28" s="220">
        <f>494308+130000</f>
        <v>624308</v>
      </c>
      <c r="K28" s="46">
        <v>0</v>
      </c>
      <c r="L28" s="224">
        <v>0</v>
      </c>
      <c r="M28" s="224">
        <v>0</v>
      </c>
      <c r="N28" s="224">
        <v>0</v>
      </c>
      <c r="O28" s="224">
        <f>300000+5633100</f>
        <v>5933100</v>
      </c>
      <c r="P28" s="224">
        <v>0</v>
      </c>
      <c r="Q28" s="224">
        <v>0</v>
      </c>
      <c r="R28" s="224">
        <v>0</v>
      </c>
      <c r="S28" s="224">
        <f>300000+5633100</f>
        <v>5933100</v>
      </c>
      <c r="T28" s="224">
        <f>150000+911900</f>
        <v>1061900</v>
      </c>
      <c r="U28" s="224">
        <v>0</v>
      </c>
      <c r="V28" s="224">
        <v>0</v>
      </c>
      <c r="W28" s="224">
        <f>300000+5633100</f>
        <v>5933100</v>
      </c>
      <c r="X28" s="224">
        <f>150000+911900</f>
        <v>1061900</v>
      </c>
      <c r="Y28" s="223">
        <v>0</v>
      </c>
      <c r="Z28" s="224">
        <f>150000+911900</f>
        <v>1061900</v>
      </c>
    </row>
    <row r="29" spans="1:26" ht="18.75" x14ac:dyDescent="0.2">
      <c r="A29" s="188"/>
      <c r="B29" s="212" t="s">
        <v>143</v>
      </c>
      <c r="C29" s="104" t="s">
        <v>69</v>
      </c>
      <c r="D29" s="81" t="s">
        <v>137</v>
      </c>
      <c r="E29" s="72" t="s">
        <v>135</v>
      </c>
      <c r="F29" s="72" t="s">
        <v>135</v>
      </c>
      <c r="G29" s="71" t="s">
        <v>144</v>
      </c>
      <c r="H29" s="67" t="s">
        <v>135</v>
      </c>
      <c r="I29" s="208"/>
      <c r="J29" s="220">
        <f t="shared" ref="J29:Y30" si="9">J30</f>
        <v>21697000</v>
      </c>
      <c r="K29" s="46">
        <f t="shared" si="9"/>
        <v>0</v>
      </c>
      <c r="L29" s="46">
        <f t="shared" si="9"/>
        <v>138525200</v>
      </c>
      <c r="M29" s="46">
        <f t="shared" si="9"/>
        <v>0</v>
      </c>
      <c r="N29" s="46">
        <f t="shared" si="9"/>
        <v>138498018.40000001</v>
      </c>
      <c r="O29" s="221">
        <f t="shared" si="9"/>
        <v>138525200</v>
      </c>
      <c r="P29" s="221">
        <f t="shared" si="9"/>
        <v>0</v>
      </c>
      <c r="Q29" s="46">
        <f t="shared" si="9"/>
        <v>-36000</v>
      </c>
      <c r="R29" s="46">
        <f t="shared" si="9"/>
        <v>138462018.40000001</v>
      </c>
      <c r="S29" s="221">
        <f t="shared" si="9"/>
        <v>138525200</v>
      </c>
      <c r="T29" s="221">
        <f t="shared" si="9"/>
        <v>138525200</v>
      </c>
      <c r="U29" s="221">
        <f t="shared" si="9"/>
        <v>0</v>
      </c>
      <c r="V29" s="221">
        <f t="shared" si="9"/>
        <v>0</v>
      </c>
      <c r="W29" s="221">
        <f t="shared" si="9"/>
        <v>138525200</v>
      </c>
      <c r="X29" s="221">
        <f t="shared" si="9"/>
        <v>138525200</v>
      </c>
      <c r="Y29" s="46">
        <f t="shared" si="9"/>
        <v>0</v>
      </c>
      <c r="Z29" s="221">
        <f>Z30</f>
        <v>138525200</v>
      </c>
    </row>
    <row r="30" spans="1:26" ht="25.5" x14ac:dyDescent="0.2">
      <c r="A30" s="188"/>
      <c r="B30" s="212" t="s">
        <v>21</v>
      </c>
      <c r="C30" s="104" t="s">
        <v>69</v>
      </c>
      <c r="D30" s="81" t="s">
        <v>137</v>
      </c>
      <c r="E30" s="72" t="s">
        <v>135</v>
      </c>
      <c r="F30" s="72" t="s">
        <v>135</v>
      </c>
      <c r="G30" s="71" t="s">
        <v>144</v>
      </c>
      <c r="H30" s="67" t="s">
        <v>135</v>
      </c>
      <c r="I30" s="208">
        <v>600</v>
      </c>
      <c r="J30" s="220">
        <f t="shared" si="9"/>
        <v>21697000</v>
      </c>
      <c r="K30" s="46">
        <f t="shared" si="9"/>
        <v>0</v>
      </c>
      <c r="L30" s="46">
        <f t="shared" si="9"/>
        <v>138525200</v>
      </c>
      <c r="M30" s="46">
        <f t="shared" si="9"/>
        <v>0</v>
      </c>
      <c r="N30" s="46">
        <f t="shared" si="9"/>
        <v>138498018.40000001</v>
      </c>
      <c r="O30" s="221">
        <f t="shared" si="9"/>
        <v>138525200</v>
      </c>
      <c r="P30" s="221">
        <f t="shared" si="9"/>
        <v>0</v>
      </c>
      <c r="Q30" s="46">
        <f t="shared" si="9"/>
        <v>-36000</v>
      </c>
      <c r="R30" s="46">
        <f t="shared" si="9"/>
        <v>138462018.40000001</v>
      </c>
      <c r="S30" s="221">
        <f t="shared" si="9"/>
        <v>138525200</v>
      </c>
      <c r="T30" s="221">
        <f t="shared" si="9"/>
        <v>138525200</v>
      </c>
      <c r="U30" s="221">
        <f t="shared" si="9"/>
        <v>0</v>
      </c>
      <c r="V30" s="221">
        <f t="shared" si="9"/>
        <v>0</v>
      </c>
      <c r="W30" s="221">
        <f t="shared" si="9"/>
        <v>138525200</v>
      </c>
      <c r="X30" s="221">
        <f t="shared" si="9"/>
        <v>138525200</v>
      </c>
      <c r="Y30" s="46">
        <f>Y31</f>
        <v>0</v>
      </c>
      <c r="Z30" s="221">
        <f>Z31</f>
        <v>138525200</v>
      </c>
    </row>
    <row r="31" spans="1:26" ht="18.75" x14ac:dyDescent="0.2">
      <c r="A31" s="188"/>
      <c r="B31" s="212" t="s">
        <v>22</v>
      </c>
      <c r="C31" s="104" t="s">
        <v>69</v>
      </c>
      <c r="D31" s="81" t="s">
        <v>137</v>
      </c>
      <c r="E31" s="72" t="s">
        <v>135</v>
      </c>
      <c r="F31" s="72" t="s">
        <v>135</v>
      </c>
      <c r="G31" s="71" t="s">
        <v>144</v>
      </c>
      <c r="H31" s="67" t="s">
        <v>135</v>
      </c>
      <c r="I31" s="208" t="s">
        <v>23</v>
      </c>
      <c r="J31" s="220">
        <v>21697000</v>
      </c>
      <c r="K31" s="46">
        <v>0</v>
      </c>
      <c r="L31" s="216">
        <v>138525200</v>
      </c>
      <c r="M31" s="216">
        <v>0</v>
      </c>
      <c r="N31" s="216">
        <v>138498018.40000001</v>
      </c>
      <c r="O31" s="216">
        <v>138525200</v>
      </c>
      <c r="P31" s="216">
        <v>0</v>
      </c>
      <c r="Q31" s="216">
        <v>-36000</v>
      </c>
      <c r="R31" s="216">
        <f>Q31+N31</f>
        <v>138462018.40000001</v>
      </c>
      <c r="S31" s="216">
        <v>138525200</v>
      </c>
      <c r="T31" s="216">
        <v>138525200</v>
      </c>
      <c r="U31" s="216">
        <v>0</v>
      </c>
      <c r="V31" s="216">
        <v>0</v>
      </c>
      <c r="W31" s="216">
        <v>138525200</v>
      </c>
      <c r="X31" s="216">
        <v>138525200</v>
      </c>
      <c r="Y31" s="215">
        <v>0</v>
      </c>
      <c r="Z31" s="216">
        <v>138525200</v>
      </c>
    </row>
    <row r="32" spans="1:26" ht="25.5" x14ac:dyDescent="0.2">
      <c r="A32" s="188"/>
      <c r="B32" s="212" t="s">
        <v>150</v>
      </c>
      <c r="C32" s="103" t="s">
        <v>69</v>
      </c>
      <c r="D32" s="70" t="s">
        <v>137</v>
      </c>
      <c r="E32" s="66" t="s">
        <v>135</v>
      </c>
      <c r="F32" s="66" t="s">
        <v>135</v>
      </c>
      <c r="G32" s="71" t="s">
        <v>151</v>
      </c>
      <c r="H32" s="67" t="s">
        <v>135</v>
      </c>
      <c r="I32" s="208"/>
      <c r="J32" s="220">
        <f t="shared" ref="J32:Y33" si="10">J33</f>
        <v>13267300</v>
      </c>
      <c r="K32" s="46">
        <f t="shared" si="10"/>
        <v>0</v>
      </c>
      <c r="L32" s="46">
        <f t="shared" si="10"/>
        <v>18377000</v>
      </c>
      <c r="M32" s="46">
        <f t="shared" si="10"/>
        <v>0</v>
      </c>
      <c r="N32" s="46">
        <f t="shared" si="10"/>
        <v>18372818.399999999</v>
      </c>
      <c r="O32" s="221">
        <f t="shared" si="10"/>
        <v>18377000</v>
      </c>
      <c r="P32" s="221">
        <f t="shared" si="10"/>
        <v>0</v>
      </c>
      <c r="Q32" s="46">
        <f t="shared" si="10"/>
        <v>0</v>
      </c>
      <c r="R32" s="46">
        <f t="shared" si="10"/>
        <v>18372818.399999999</v>
      </c>
      <c r="S32" s="221">
        <f t="shared" si="10"/>
        <v>18377000</v>
      </c>
      <c r="T32" s="221">
        <f t="shared" si="10"/>
        <v>18377000</v>
      </c>
      <c r="U32" s="221">
        <f t="shared" si="10"/>
        <v>0</v>
      </c>
      <c r="V32" s="221">
        <f t="shared" si="10"/>
        <v>0</v>
      </c>
      <c r="W32" s="221">
        <f t="shared" si="10"/>
        <v>18377000</v>
      </c>
      <c r="X32" s="221">
        <f t="shared" si="10"/>
        <v>18377000</v>
      </c>
      <c r="Y32" s="46">
        <f t="shared" si="10"/>
        <v>0</v>
      </c>
      <c r="Z32" s="221">
        <f>Z33</f>
        <v>18377000</v>
      </c>
    </row>
    <row r="33" spans="1:26" ht="34.5" customHeight="1" x14ac:dyDescent="0.2">
      <c r="A33" s="188"/>
      <c r="B33" s="362" t="s">
        <v>21</v>
      </c>
      <c r="C33" s="66" t="s">
        <v>69</v>
      </c>
      <c r="D33" s="70" t="s">
        <v>137</v>
      </c>
      <c r="E33" s="66" t="s">
        <v>135</v>
      </c>
      <c r="F33" s="66" t="s">
        <v>135</v>
      </c>
      <c r="G33" s="71" t="s">
        <v>151</v>
      </c>
      <c r="H33" s="67" t="s">
        <v>135</v>
      </c>
      <c r="I33" s="208">
        <v>600</v>
      </c>
      <c r="J33" s="220">
        <f t="shared" si="10"/>
        <v>13267300</v>
      </c>
      <c r="K33" s="46">
        <f t="shared" si="10"/>
        <v>0</v>
      </c>
      <c r="L33" s="224">
        <f t="shared" si="10"/>
        <v>18377000</v>
      </c>
      <c r="M33" s="224">
        <f t="shared" si="10"/>
        <v>0</v>
      </c>
      <c r="N33" s="224">
        <f t="shared" si="10"/>
        <v>18372818.399999999</v>
      </c>
      <c r="O33" s="224">
        <f t="shared" si="10"/>
        <v>18377000</v>
      </c>
      <c r="P33" s="224">
        <f t="shared" si="10"/>
        <v>0</v>
      </c>
      <c r="Q33" s="224">
        <f t="shared" si="10"/>
        <v>0</v>
      </c>
      <c r="R33" s="224">
        <f t="shared" si="10"/>
        <v>18372818.399999999</v>
      </c>
      <c r="S33" s="224">
        <f t="shared" si="10"/>
        <v>18377000</v>
      </c>
      <c r="T33" s="224">
        <f t="shared" si="10"/>
        <v>18377000</v>
      </c>
      <c r="U33" s="224">
        <f t="shared" si="10"/>
        <v>0</v>
      </c>
      <c r="V33" s="224">
        <f t="shared" si="10"/>
        <v>0</v>
      </c>
      <c r="W33" s="224">
        <f t="shared" si="10"/>
        <v>18377000</v>
      </c>
      <c r="X33" s="224">
        <f t="shared" si="10"/>
        <v>18377000</v>
      </c>
      <c r="Y33" s="223">
        <f>Y34</f>
        <v>0</v>
      </c>
      <c r="Z33" s="224">
        <f>Z34</f>
        <v>18377000</v>
      </c>
    </row>
    <row r="34" spans="1:26" ht="18.75" x14ac:dyDescent="0.2">
      <c r="A34" s="188"/>
      <c r="B34" s="362" t="s">
        <v>22</v>
      </c>
      <c r="C34" s="66" t="s">
        <v>69</v>
      </c>
      <c r="D34" s="70" t="s">
        <v>137</v>
      </c>
      <c r="E34" s="66" t="s">
        <v>135</v>
      </c>
      <c r="F34" s="66" t="s">
        <v>135</v>
      </c>
      <c r="G34" s="71" t="s">
        <v>151</v>
      </c>
      <c r="H34" s="67" t="s">
        <v>135</v>
      </c>
      <c r="I34" s="208" t="s">
        <v>23</v>
      </c>
      <c r="J34" s="220">
        <v>13267300</v>
      </c>
      <c r="K34" s="46">
        <v>0</v>
      </c>
      <c r="L34" s="224">
        <v>18377000</v>
      </c>
      <c r="M34" s="224">
        <v>0</v>
      </c>
      <c r="N34" s="224">
        <v>18372818.399999999</v>
      </c>
      <c r="O34" s="224">
        <v>18377000</v>
      </c>
      <c r="P34" s="224">
        <v>0</v>
      </c>
      <c r="Q34" s="224">
        <v>0</v>
      </c>
      <c r="R34" s="224">
        <f>Q34+N34</f>
        <v>18372818.399999999</v>
      </c>
      <c r="S34" s="224">
        <v>18377000</v>
      </c>
      <c r="T34" s="224">
        <v>18377000</v>
      </c>
      <c r="U34" s="224">
        <v>0</v>
      </c>
      <c r="V34" s="224">
        <v>0</v>
      </c>
      <c r="W34" s="224">
        <v>18377000</v>
      </c>
      <c r="X34" s="224">
        <v>18377000</v>
      </c>
      <c r="Y34" s="223">
        <v>0</v>
      </c>
      <c r="Z34" s="224">
        <v>18377000</v>
      </c>
    </row>
    <row r="35" spans="1:26" ht="38.25" x14ac:dyDescent="0.2">
      <c r="A35" s="188"/>
      <c r="B35" s="363" t="s">
        <v>354</v>
      </c>
      <c r="C35" s="81" t="s">
        <v>69</v>
      </c>
      <c r="D35" s="81" t="s">
        <v>137</v>
      </c>
      <c r="E35" s="66" t="s">
        <v>135</v>
      </c>
      <c r="F35" s="66" t="s">
        <v>135</v>
      </c>
      <c r="G35" s="71" t="s">
        <v>225</v>
      </c>
      <c r="H35" s="67" t="s">
        <v>135</v>
      </c>
      <c r="I35" s="208"/>
      <c r="J35" s="220">
        <f t="shared" ref="J35:Y36" si="11">J36</f>
        <v>408746.18</v>
      </c>
      <c r="K35" s="46">
        <f t="shared" si="11"/>
        <v>0</v>
      </c>
      <c r="L35" s="46">
        <f t="shared" si="11"/>
        <v>0</v>
      </c>
      <c r="M35" s="46">
        <f t="shared" si="11"/>
        <v>0</v>
      </c>
      <c r="N35" s="46">
        <f t="shared" si="11"/>
        <v>333900</v>
      </c>
      <c r="O35" s="221">
        <f t="shared" si="11"/>
        <v>633900</v>
      </c>
      <c r="P35" s="221">
        <f t="shared" si="11"/>
        <v>0</v>
      </c>
      <c r="Q35" s="46">
        <f t="shared" si="11"/>
        <v>0</v>
      </c>
      <c r="R35" s="46">
        <f t="shared" si="11"/>
        <v>333900</v>
      </c>
      <c r="S35" s="221">
        <f t="shared" si="11"/>
        <v>633900</v>
      </c>
      <c r="T35" s="221">
        <f t="shared" si="11"/>
        <v>633900</v>
      </c>
      <c r="U35" s="221">
        <f t="shared" si="11"/>
        <v>0</v>
      </c>
      <c r="V35" s="221">
        <f t="shared" si="11"/>
        <v>0</v>
      </c>
      <c r="W35" s="221">
        <f t="shared" si="11"/>
        <v>633900</v>
      </c>
      <c r="X35" s="221">
        <f t="shared" si="11"/>
        <v>633900</v>
      </c>
      <c r="Y35" s="46">
        <f t="shared" si="11"/>
        <v>0</v>
      </c>
      <c r="Z35" s="221">
        <f>Z36</f>
        <v>633900</v>
      </c>
    </row>
    <row r="36" spans="1:26" ht="25.5" x14ac:dyDescent="0.2">
      <c r="A36" s="188"/>
      <c r="B36" s="362" t="s">
        <v>21</v>
      </c>
      <c r="C36" s="81" t="s">
        <v>69</v>
      </c>
      <c r="D36" s="81" t="s">
        <v>137</v>
      </c>
      <c r="E36" s="66" t="s">
        <v>135</v>
      </c>
      <c r="F36" s="66" t="s">
        <v>135</v>
      </c>
      <c r="G36" s="71" t="s">
        <v>225</v>
      </c>
      <c r="H36" s="67" t="s">
        <v>135</v>
      </c>
      <c r="I36" s="208">
        <v>600</v>
      </c>
      <c r="J36" s="220">
        <f t="shared" si="11"/>
        <v>408746.18</v>
      </c>
      <c r="K36" s="46">
        <f t="shared" si="11"/>
        <v>0</v>
      </c>
      <c r="L36" s="46">
        <f t="shared" si="11"/>
        <v>0</v>
      </c>
      <c r="M36" s="46">
        <f t="shared" si="11"/>
        <v>0</v>
      </c>
      <c r="N36" s="46">
        <f t="shared" si="11"/>
        <v>333900</v>
      </c>
      <c r="O36" s="221">
        <f t="shared" si="11"/>
        <v>633900</v>
      </c>
      <c r="P36" s="221">
        <f t="shared" si="11"/>
        <v>0</v>
      </c>
      <c r="Q36" s="46">
        <f t="shared" si="11"/>
        <v>0</v>
      </c>
      <c r="R36" s="46">
        <f t="shared" si="11"/>
        <v>333900</v>
      </c>
      <c r="S36" s="221">
        <f t="shared" si="11"/>
        <v>633900</v>
      </c>
      <c r="T36" s="221">
        <f t="shared" si="11"/>
        <v>633900</v>
      </c>
      <c r="U36" s="221">
        <f t="shared" si="11"/>
        <v>0</v>
      </c>
      <c r="V36" s="221">
        <f t="shared" si="11"/>
        <v>0</v>
      </c>
      <c r="W36" s="221">
        <f t="shared" si="11"/>
        <v>633900</v>
      </c>
      <c r="X36" s="221">
        <f t="shared" si="11"/>
        <v>633900</v>
      </c>
      <c r="Y36" s="46">
        <f>Y37</f>
        <v>0</v>
      </c>
      <c r="Z36" s="221">
        <f>Z37</f>
        <v>633900</v>
      </c>
    </row>
    <row r="37" spans="1:26" ht="18.75" x14ac:dyDescent="0.2">
      <c r="A37" s="188"/>
      <c r="B37" s="362" t="s">
        <v>22</v>
      </c>
      <c r="C37" s="81" t="s">
        <v>69</v>
      </c>
      <c r="D37" s="81" t="s">
        <v>137</v>
      </c>
      <c r="E37" s="66" t="s">
        <v>135</v>
      </c>
      <c r="F37" s="66" t="s">
        <v>135</v>
      </c>
      <c r="G37" s="71" t="s">
        <v>225</v>
      </c>
      <c r="H37" s="67" t="s">
        <v>135</v>
      </c>
      <c r="I37" s="208" t="s">
        <v>23</v>
      </c>
      <c r="J37" s="68">
        <f>408746.18</f>
        <v>408746.18</v>
      </c>
      <c r="K37" s="215">
        <v>0</v>
      </c>
      <c r="L37" s="216">
        <v>0</v>
      </c>
      <c r="M37" s="216">
        <v>0</v>
      </c>
      <c r="N37" s="216">
        <v>333900</v>
      </c>
      <c r="O37" s="216">
        <v>633900</v>
      </c>
      <c r="P37" s="216">
        <v>0</v>
      </c>
      <c r="Q37" s="216">
        <v>0</v>
      </c>
      <c r="R37" s="216">
        <f>N37</f>
        <v>333900</v>
      </c>
      <c r="S37" s="216">
        <v>633900</v>
      </c>
      <c r="T37" s="216">
        <v>633900</v>
      </c>
      <c r="U37" s="216">
        <v>0</v>
      </c>
      <c r="V37" s="216">
        <v>0</v>
      </c>
      <c r="W37" s="216">
        <v>633900</v>
      </c>
      <c r="X37" s="216">
        <v>633900</v>
      </c>
      <c r="Y37" s="215">
        <v>0</v>
      </c>
      <c r="Z37" s="216">
        <v>633900</v>
      </c>
    </row>
    <row r="38" spans="1:26" ht="25.5" x14ac:dyDescent="0.2">
      <c r="A38" s="188"/>
      <c r="B38" s="363" t="s">
        <v>406</v>
      </c>
      <c r="C38" s="81" t="s">
        <v>69</v>
      </c>
      <c r="D38" s="81" t="s">
        <v>137</v>
      </c>
      <c r="E38" s="66" t="s">
        <v>135</v>
      </c>
      <c r="F38" s="66" t="s">
        <v>135</v>
      </c>
      <c r="G38" s="71" t="s">
        <v>405</v>
      </c>
      <c r="H38" s="67" t="s">
        <v>135</v>
      </c>
      <c r="I38" s="372"/>
      <c r="J38" s="68">
        <f t="shared" ref="J38:Z39" si="12">J39</f>
        <v>408746.18000000005</v>
      </c>
      <c r="K38" s="69">
        <f t="shared" si="12"/>
        <v>0</v>
      </c>
      <c r="L38" s="216">
        <f t="shared" si="12"/>
        <v>116979580.75</v>
      </c>
      <c r="M38" s="216">
        <f t="shared" si="12"/>
        <v>9038312.8200000003</v>
      </c>
      <c r="N38" s="216">
        <f t="shared" si="12"/>
        <v>2881492.78</v>
      </c>
      <c r="O38" s="68">
        <f t="shared" si="12"/>
        <v>82927266.269999996</v>
      </c>
      <c r="P38" s="216">
        <f t="shared" si="12"/>
        <v>0</v>
      </c>
      <c r="Q38" s="216">
        <f t="shared" si="12"/>
        <v>0</v>
      </c>
      <c r="R38" s="216">
        <f t="shared" si="12"/>
        <v>2881492.78</v>
      </c>
      <c r="S38" s="68">
        <f t="shared" si="12"/>
        <v>1896128.63</v>
      </c>
      <c r="T38" s="216">
        <f t="shared" si="12"/>
        <v>0</v>
      </c>
      <c r="U38" s="215">
        <f t="shared" si="12"/>
        <v>0</v>
      </c>
      <c r="V38" s="216">
        <f t="shared" si="12"/>
        <v>0</v>
      </c>
      <c r="W38" s="68">
        <f t="shared" si="12"/>
        <v>1896128.63</v>
      </c>
      <c r="X38" s="216">
        <f t="shared" si="12"/>
        <v>0</v>
      </c>
      <c r="Y38" s="215">
        <f t="shared" si="12"/>
        <v>0</v>
      </c>
      <c r="Z38" s="216">
        <f t="shared" si="12"/>
        <v>0</v>
      </c>
    </row>
    <row r="39" spans="1:26" ht="25.5" x14ac:dyDescent="0.2">
      <c r="A39" s="188"/>
      <c r="B39" s="363" t="s">
        <v>187</v>
      </c>
      <c r="C39" s="81" t="s">
        <v>69</v>
      </c>
      <c r="D39" s="81" t="s">
        <v>137</v>
      </c>
      <c r="E39" s="66" t="s">
        <v>135</v>
      </c>
      <c r="F39" s="66" t="s">
        <v>135</v>
      </c>
      <c r="G39" s="71" t="s">
        <v>405</v>
      </c>
      <c r="H39" s="67" t="s">
        <v>135</v>
      </c>
      <c r="I39" s="372" t="s">
        <v>160</v>
      </c>
      <c r="J39" s="68">
        <f t="shared" si="12"/>
        <v>408746.18000000005</v>
      </c>
      <c r="K39" s="69">
        <f t="shared" si="12"/>
        <v>0</v>
      </c>
      <c r="L39" s="216">
        <f t="shared" si="12"/>
        <v>116979580.75</v>
      </c>
      <c r="M39" s="216">
        <f t="shared" si="12"/>
        <v>9038312.8200000003</v>
      </c>
      <c r="N39" s="216">
        <f t="shared" si="12"/>
        <v>2881492.78</v>
      </c>
      <c r="O39" s="68">
        <f t="shared" si="12"/>
        <v>82927266.269999996</v>
      </c>
      <c r="P39" s="216">
        <f t="shared" si="12"/>
        <v>0</v>
      </c>
      <c r="Q39" s="216">
        <f t="shared" si="12"/>
        <v>0</v>
      </c>
      <c r="R39" s="216">
        <f t="shared" si="12"/>
        <v>2881492.78</v>
      </c>
      <c r="S39" s="68">
        <f t="shared" si="12"/>
        <v>1896128.63</v>
      </c>
      <c r="T39" s="216">
        <f t="shared" si="12"/>
        <v>0</v>
      </c>
      <c r="U39" s="215">
        <f t="shared" si="12"/>
        <v>0</v>
      </c>
      <c r="V39" s="216">
        <f t="shared" si="12"/>
        <v>0</v>
      </c>
      <c r="W39" s="68">
        <f t="shared" si="12"/>
        <v>1896128.63</v>
      </c>
      <c r="X39" s="216">
        <f t="shared" si="12"/>
        <v>0</v>
      </c>
      <c r="Y39" s="215">
        <f t="shared" si="12"/>
        <v>0</v>
      </c>
      <c r="Z39" s="216">
        <f t="shared" si="12"/>
        <v>0</v>
      </c>
    </row>
    <row r="40" spans="1:26" ht="18.75" x14ac:dyDescent="0.2">
      <c r="A40" s="188"/>
      <c r="B40" s="364" t="s">
        <v>162</v>
      </c>
      <c r="C40" s="81" t="s">
        <v>69</v>
      </c>
      <c r="D40" s="81" t="s">
        <v>137</v>
      </c>
      <c r="E40" s="66" t="s">
        <v>135</v>
      </c>
      <c r="F40" s="66" t="s">
        <v>135</v>
      </c>
      <c r="G40" s="71" t="s">
        <v>405</v>
      </c>
      <c r="H40" s="67" t="s">
        <v>135</v>
      </c>
      <c r="I40" s="372" t="s">
        <v>161</v>
      </c>
      <c r="J40" s="68">
        <f>798046.18-390000+700</f>
        <v>408746.18000000005</v>
      </c>
      <c r="K40" s="69">
        <v>0</v>
      </c>
      <c r="L40" s="216">
        <v>116979580.75</v>
      </c>
      <c r="M40" s="216">
        <v>9038312.8200000003</v>
      </c>
      <c r="N40" s="216">
        <v>2881492.78</v>
      </c>
      <c r="O40" s="68">
        <f>76979580.75+5947685.52</f>
        <v>82927266.269999996</v>
      </c>
      <c r="P40" s="216">
        <v>0</v>
      </c>
      <c r="Q40" s="216">
        <v>0</v>
      </c>
      <c r="R40" s="216">
        <f>N40</f>
        <v>2881492.78</v>
      </c>
      <c r="S40" s="68">
        <v>1896128.63</v>
      </c>
      <c r="T40" s="216">
        <v>0</v>
      </c>
      <c r="U40" s="215">
        <v>0</v>
      </c>
      <c r="V40" s="216">
        <v>0</v>
      </c>
      <c r="W40" s="68">
        <f>V40+S40</f>
        <v>1896128.63</v>
      </c>
      <c r="X40" s="216">
        <v>0</v>
      </c>
      <c r="Y40" s="215">
        <v>0</v>
      </c>
      <c r="Z40" s="216">
        <v>0</v>
      </c>
    </row>
    <row r="41" spans="1:26" ht="89.25" x14ac:dyDescent="0.2">
      <c r="A41" s="188"/>
      <c r="B41" s="363" t="s">
        <v>276</v>
      </c>
      <c r="C41" s="66" t="s">
        <v>69</v>
      </c>
      <c r="D41" s="70" t="s">
        <v>137</v>
      </c>
      <c r="E41" s="66" t="s">
        <v>135</v>
      </c>
      <c r="F41" s="66" t="s">
        <v>135</v>
      </c>
      <c r="G41" s="71" t="s">
        <v>277</v>
      </c>
      <c r="H41" s="67" t="s">
        <v>135</v>
      </c>
      <c r="I41" s="208"/>
      <c r="J41" s="118">
        <f t="shared" ref="J41:Y42" si="13">J42</f>
        <v>600000</v>
      </c>
      <c r="K41" s="209">
        <f t="shared" si="13"/>
        <v>0</v>
      </c>
      <c r="L41" s="209">
        <f t="shared" si="13"/>
        <v>800000</v>
      </c>
      <c r="M41" s="209">
        <f t="shared" si="13"/>
        <v>0</v>
      </c>
      <c r="N41" s="209">
        <f t="shared" si="13"/>
        <v>800000</v>
      </c>
      <c r="O41" s="210">
        <f t="shared" si="13"/>
        <v>800000</v>
      </c>
      <c r="P41" s="210">
        <f t="shared" si="13"/>
        <v>0</v>
      </c>
      <c r="Q41" s="209">
        <f t="shared" si="13"/>
        <v>0</v>
      </c>
      <c r="R41" s="209">
        <f t="shared" si="13"/>
        <v>800000</v>
      </c>
      <c r="S41" s="210">
        <f t="shared" si="13"/>
        <v>800000</v>
      </c>
      <c r="T41" s="210">
        <f t="shared" si="13"/>
        <v>800000</v>
      </c>
      <c r="U41" s="210">
        <f t="shared" si="13"/>
        <v>0</v>
      </c>
      <c r="V41" s="210">
        <f t="shared" si="13"/>
        <v>0</v>
      </c>
      <c r="W41" s="210">
        <f t="shared" si="13"/>
        <v>800000</v>
      </c>
      <c r="X41" s="210">
        <f t="shared" si="13"/>
        <v>800000</v>
      </c>
      <c r="Y41" s="209">
        <f t="shared" si="13"/>
        <v>0</v>
      </c>
      <c r="Z41" s="210">
        <f>Z42</f>
        <v>800000</v>
      </c>
    </row>
    <row r="42" spans="1:26" ht="25.5" x14ac:dyDescent="0.2">
      <c r="A42" s="188"/>
      <c r="B42" s="362" t="s">
        <v>21</v>
      </c>
      <c r="C42" s="66" t="s">
        <v>69</v>
      </c>
      <c r="D42" s="70" t="s">
        <v>137</v>
      </c>
      <c r="E42" s="66" t="s">
        <v>135</v>
      </c>
      <c r="F42" s="66" t="s">
        <v>135</v>
      </c>
      <c r="G42" s="71" t="s">
        <v>277</v>
      </c>
      <c r="H42" s="67" t="s">
        <v>135</v>
      </c>
      <c r="I42" s="208" t="s">
        <v>149</v>
      </c>
      <c r="J42" s="118">
        <f t="shared" si="13"/>
        <v>600000</v>
      </c>
      <c r="K42" s="209">
        <f t="shared" si="13"/>
        <v>0</v>
      </c>
      <c r="L42" s="224">
        <f t="shared" si="13"/>
        <v>800000</v>
      </c>
      <c r="M42" s="224">
        <f t="shared" si="13"/>
        <v>0</v>
      </c>
      <c r="N42" s="224">
        <f t="shared" si="13"/>
        <v>800000</v>
      </c>
      <c r="O42" s="224">
        <f t="shared" si="13"/>
        <v>800000</v>
      </c>
      <c r="P42" s="224">
        <f t="shared" si="13"/>
        <v>0</v>
      </c>
      <c r="Q42" s="224">
        <f t="shared" si="13"/>
        <v>0</v>
      </c>
      <c r="R42" s="224">
        <f t="shared" si="13"/>
        <v>800000</v>
      </c>
      <c r="S42" s="224">
        <f t="shared" si="13"/>
        <v>800000</v>
      </c>
      <c r="T42" s="224">
        <f t="shared" si="13"/>
        <v>800000</v>
      </c>
      <c r="U42" s="224">
        <f t="shared" si="13"/>
        <v>0</v>
      </c>
      <c r="V42" s="224">
        <f t="shared" si="13"/>
        <v>0</v>
      </c>
      <c r="W42" s="224">
        <f t="shared" si="13"/>
        <v>800000</v>
      </c>
      <c r="X42" s="224">
        <f t="shared" si="13"/>
        <v>800000</v>
      </c>
      <c r="Y42" s="223">
        <f>Y43</f>
        <v>0</v>
      </c>
      <c r="Z42" s="224">
        <f>Z43</f>
        <v>800000</v>
      </c>
    </row>
    <row r="43" spans="1:26" ht="18.75" x14ac:dyDescent="0.2">
      <c r="A43" s="188"/>
      <c r="B43" s="362" t="s">
        <v>22</v>
      </c>
      <c r="C43" s="66" t="s">
        <v>69</v>
      </c>
      <c r="D43" s="70" t="s">
        <v>137</v>
      </c>
      <c r="E43" s="66" t="s">
        <v>135</v>
      </c>
      <c r="F43" s="66" t="s">
        <v>135</v>
      </c>
      <c r="G43" s="71" t="s">
        <v>277</v>
      </c>
      <c r="H43" s="67" t="s">
        <v>135</v>
      </c>
      <c r="I43" s="208" t="s">
        <v>23</v>
      </c>
      <c r="J43" s="118">
        <v>600000</v>
      </c>
      <c r="K43" s="209">
        <v>0</v>
      </c>
      <c r="L43" s="224">
        <v>800000</v>
      </c>
      <c r="M43" s="224">
        <v>0</v>
      </c>
      <c r="N43" s="224">
        <v>800000</v>
      </c>
      <c r="O43" s="224">
        <v>800000</v>
      </c>
      <c r="P43" s="224">
        <v>0</v>
      </c>
      <c r="Q43" s="224">
        <v>0</v>
      </c>
      <c r="R43" s="224">
        <v>800000</v>
      </c>
      <c r="S43" s="224">
        <v>800000</v>
      </c>
      <c r="T43" s="224">
        <v>800000</v>
      </c>
      <c r="U43" s="224">
        <v>0</v>
      </c>
      <c r="V43" s="224">
        <v>0</v>
      </c>
      <c r="W43" s="224">
        <v>800000</v>
      </c>
      <c r="X43" s="224">
        <v>800000</v>
      </c>
      <c r="Y43" s="223">
        <v>0</v>
      </c>
      <c r="Z43" s="224">
        <v>800000</v>
      </c>
    </row>
    <row r="44" spans="1:26" ht="63.75" x14ac:dyDescent="0.2">
      <c r="A44" s="188"/>
      <c r="B44" s="363" t="s">
        <v>300</v>
      </c>
      <c r="C44" s="81" t="s">
        <v>69</v>
      </c>
      <c r="D44" s="81" t="s">
        <v>137</v>
      </c>
      <c r="E44" s="66" t="s">
        <v>135</v>
      </c>
      <c r="F44" s="66" t="s">
        <v>135</v>
      </c>
      <c r="G44" s="71" t="s">
        <v>266</v>
      </c>
      <c r="H44" s="67" t="s">
        <v>135</v>
      </c>
      <c r="I44" s="208"/>
      <c r="J44" s="68"/>
      <c r="K44" s="215"/>
      <c r="L44" s="216">
        <f t="shared" ref="L44:Z45" si="14">L45</f>
        <v>116979580.75</v>
      </c>
      <c r="M44" s="216">
        <f t="shared" si="14"/>
        <v>9038312.8200000003</v>
      </c>
      <c r="N44" s="216">
        <f t="shared" si="14"/>
        <v>123136400.79000001</v>
      </c>
      <c r="O44" s="216">
        <f t="shared" si="14"/>
        <v>82927266.269999996</v>
      </c>
      <c r="P44" s="216">
        <f t="shared" si="14"/>
        <v>0</v>
      </c>
      <c r="Q44" s="216">
        <f t="shared" si="14"/>
        <v>0</v>
      </c>
      <c r="R44" s="216">
        <f t="shared" si="14"/>
        <v>123136400.79000001</v>
      </c>
      <c r="S44" s="216">
        <f t="shared" si="14"/>
        <v>81031137.640000001</v>
      </c>
      <c r="T44" s="216">
        <f t="shared" si="14"/>
        <v>0</v>
      </c>
      <c r="U44" s="216">
        <f t="shared" si="14"/>
        <v>0</v>
      </c>
      <c r="V44" s="216">
        <f t="shared" si="14"/>
        <v>0</v>
      </c>
      <c r="W44" s="216">
        <f t="shared" si="14"/>
        <v>81031137.640000001</v>
      </c>
      <c r="X44" s="216">
        <f t="shared" si="14"/>
        <v>0</v>
      </c>
      <c r="Y44" s="215">
        <f t="shared" si="14"/>
        <v>0</v>
      </c>
      <c r="Z44" s="216">
        <f t="shared" si="14"/>
        <v>0</v>
      </c>
    </row>
    <row r="45" spans="1:26" ht="25.5" x14ac:dyDescent="0.2">
      <c r="A45" s="188"/>
      <c r="B45" s="363" t="s">
        <v>187</v>
      </c>
      <c r="C45" s="81" t="s">
        <v>69</v>
      </c>
      <c r="D45" s="81" t="s">
        <v>137</v>
      </c>
      <c r="E45" s="66" t="s">
        <v>135</v>
      </c>
      <c r="F45" s="66" t="s">
        <v>135</v>
      </c>
      <c r="G45" s="71" t="s">
        <v>266</v>
      </c>
      <c r="H45" s="67" t="s">
        <v>135</v>
      </c>
      <c r="I45" s="208" t="s">
        <v>160</v>
      </c>
      <c r="J45" s="68"/>
      <c r="K45" s="215"/>
      <c r="L45" s="216">
        <f t="shared" si="14"/>
        <v>116979580.75</v>
      </c>
      <c r="M45" s="216">
        <f t="shared" si="14"/>
        <v>9038312.8200000003</v>
      </c>
      <c r="N45" s="216">
        <f t="shared" si="14"/>
        <v>123136400.79000001</v>
      </c>
      <c r="O45" s="216">
        <f t="shared" si="14"/>
        <v>82927266.269999996</v>
      </c>
      <c r="P45" s="216">
        <f t="shared" si="14"/>
        <v>0</v>
      </c>
      <c r="Q45" s="216">
        <f t="shared" si="14"/>
        <v>0</v>
      </c>
      <c r="R45" s="216">
        <f t="shared" si="14"/>
        <v>123136400.79000001</v>
      </c>
      <c r="S45" s="216">
        <f t="shared" si="14"/>
        <v>81031137.640000001</v>
      </c>
      <c r="T45" s="216">
        <f t="shared" si="14"/>
        <v>0</v>
      </c>
      <c r="U45" s="216">
        <f t="shared" si="14"/>
        <v>0</v>
      </c>
      <c r="V45" s="216">
        <f t="shared" si="14"/>
        <v>0</v>
      </c>
      <c r="W45" s="216">
        <f t="shared" si="14"/>
        <v>81031137.640000001</v>
      </c>
      <c r="X45" s="216">
        <f t="shared" si="14"/>
        <v>0</v>
      </c>
      <c r="Y45" s="215">
        <f t="shared" si="14"/>
        <v>0</v>
      </c>
      <c r="Z45" s="216">
        <f t="shared" si="14"/>
        <v>0</v>
      </c>
    </row>
    <row r="46" spans="1:26" ht="18.75" x14ac:dyDescent="0.2">
      <c r="A46" s="188"/>
      <c r="B46" s="364" t="s">
        <v>162</v>
      </c>
      <c r="C46" s="81" t="s">
        <v>69</v>
      </c>
      <c r="D46" s="81" t="s">
        <v>137</v>
      </c>
      <c r="E46" s="66" t="s">
        <v>135</v>
      </c>
      <c r="F46" s="66" t="s">
        <v>135</v>
      </c>
      <c r="G46" s="71" t="s">
        <v>266</v>
      </c>
      <c r="H46" s="67" t="s">
        <v>135</v>
      </c>
      <c r="I46" s="208" t="s">
        <v>161</v>
      </c>
      <c r="J46" s="68"/>
      <c r="K46" s="215"/>
      <c r="L46" s="216">
        <v>116979580.75</v>
      </c>
      <c r="M46" s="216">
        <v>9038312.8200000003</v>
      </c>
      <c r="N46" s="216">
        <v>123136400.79000001</v>
      </c>
      <c r="O46" s="216">
        <f>76979580.75+5947685.52</f>
        <v>82927266.269999996</v>
      </c>
      <c r="P46" s="216">
        <v>0</v>
      </c>
      <c r="Q46" s="216">
        <v>0</v>
      </c>
      <c r="R46" s="216">
        <f>Q46+N46</f>
        <v>123136400.79000001</v>
      </c>
      <c r="S46" s="216">
        <v>81031137.640000001</v>
      </c>
      <c r="T46" s="216">
        <v>0</v>
      </c>
      <c r="U46" s="216">
        <v>0</v>
      </c>
      <c r="V46" s="216">
        <v>0</v>
      </c>
      <c r="W46" s="216">
        <f>S46+V46</f>
        <v>81031137.640000001</v>
      </c>
      <c r="X46" s="216">
        <v>0</v>
      </c>
      <c r="Y46" s="215">
        <v>0</v>
      </c>
      <c r="Z46" s="216">
        <v>0</v>
      </c>
    </row>
    <row r="47" spans="1:26" ht="114.75" x14ac:dyDescent="0.2">
      <c r="A47" s="188"/>
      <c r="B47" s="464" t="s">
        <v>299</v>
      </c>
      <c r="C47" s="81" t="s">
        <v>69</v>
      </c>
      <c r="D47" s="81" t="s">
        <v>137</v>
      </c>
      <c r="E47" s="66" t="s">
        <v>135</v>
      </c>
      <c r="F47" s="66" t="s">
        <v>135</v>
      </c>
      <c r="G47" s="71" t="s">
        <v>255</v>
      </c>
      <c r="H47" s="67" t="s">
        <v>135</v>
      </c>
      <c r="I47" s="208"/>
      <c r="J47" s="220"/>
      <c r="K47" s="46"/>
      <c r="L47" s="221">
        <f t="shared" ref="L47:Z48" si="15">L48</f>
        <v>633900</v>
      </c>
      <c r="M47" s="221">
        <f t="shared" si="15"/>
        <v>0</v>
      </c>
      <c r="N47" s="221">
        <f t="shared" si="15"/>
        <v>300000</v>
      </c>
      <c r="O47" s="221">
        <f t="shared" si="15"/>
        <v>0</v>
      </c>
      <c r="P47" s="221">
        <f t="shared" si="15"/>
        <v>0</v>
      </c>
      <c r="Q47" s="221">
        <f t="shared" si="15"/>
        <v>0</v>
      </c>
      <c r="R47" s="221">
        <f t="shared" si="15"/>
        <v>300000</v>
      </c>
      <c r="S47" s="222">
        <f t="shared" si="15"/>
        <v>0</v>
      </c>
      <c r="T47" s="221">
        <f t="shared" si="15"/>
        <v>0</v>
      </c>
      <c r="U47" s="221">
        <f t="shared" si="15"/>
        <v>0</v>
      </c>
      <c r="V47" s="221">
        <f t="shared" si="15"/>
        <v>0</v>
      </c>
      <c r="W47" s="221">
        <f t="shared" si="15"/>
        <v>0</v>
      </c>
      <c r="X47" s="221">
        <f t="shared" si="15"/>
        <v>0</v>
      </c>
      <c r="Y47" s="46">
        <f t="shared" si="15"/>
        <v>0</v>
      </c>
      <c r="Z47" s="221">
        <f t="shared" si="15"/>
        <v>0</v>
      </c>
    </row>
    <row r="48" spans="1:26" ht="25.5" x14ac:dyDescent="0.2">
      <c r="A48" s="188"/>
      <c r="B48" s="362" t="s">
        <v>21</v>
      </c>
      <c r="C48" s="81" t="s">
        <v>69</v>
      </c>
      <c r="D48" s="81" t="s">
        <v>137</v>
      </c>
      <c r="E48" s="66" t="s">
        <v>135</v>
      </c>
      <c r="F48" s="66" t="s">
        <v>135</v>
      </c>
      <c r="G48" s="71" t="s">
        <v>255</v>
      </c>
      <c r="H48" s="67" t="s">
        <v>135</v>
      </c>
      <c r="I48" s="208">
        <v>600</v>
      </c>
      <c r="J48" s="220"/>
      <c r="K48" s="46"/>
      <c r="L48" s="216">
        <f t="shared" si="15"/>
        <v>633900</v>
      </c>
      <c r="M48" s="216">
        <f t="shared" si="15"/>
        <v>0</v>
      </c>
      <c r="N48" s="216">
        <f t="shared" si="15"/>
        <v>300000</v>
      </c>
      <c r="O48" s="216">
        <f t="shared" si="15"/>
        <v>0</v>
      </c>
      <c r="P48" s="216">
        <f t="shared" si="15"/>
        <v>0</v>
      </c>
      <c r="Q48" s="216">
        <f t="shared" si="15"/>
        <v>0</v>
      </c>
      <c r="R48" s="216">
        <f t="shared" si="15"/>
        <v>300000</v>
      </c>
      <c r="S48" s="217">
        <f t="shared" si="15"/>
        <v>0</v>
      </c>
      <c r="T48" s="216">
        <f t="shared" si="15"/>
        <v>0</v>
      </c>
      <c r="U48" s="216">
        <f t="shared" si="15"/>
        <v>0</v>
      </c>
      <c r="V48" s="216">
        <f t="shared" si="15"/>
        <v>0</v>
      </c>
      <c r="W48" s="216">
        <f t="shared" si="15"/>
        <v>0</v>
      </c>
      <c r="X48" s="216">
        <f t="shared" si="15"/>
        <v>0</v>
      </c>
      <c r="Y48" s="215">
        <f t="shared" si="15"/>
        <v>0</v>
      </c>
      <c r="Z48" s="216">
        <f t="shared" si="15"/>
        <v>0</v>
      </c>
    </row>
    <row r="49" spans="1:26" ht="18.75" x14ac:dyDescent="0.2">
      <c r="A49" s="188"/>
      <c r="B49" s="362" t="s">
        <v>22</v>
      </c>
      <c r="C49" s="81" t="s">
        <v>69</v>
      </c>
      <c r="D49" s="81" t="s">
        <v>137</v>
      </c>
      <c r="E49" s="66" t="s">
        <v>135</v>
      </c>
      <c r="F49" s="66" t="s">
        <v>135</v>
      </c>
      <c r="G49" s="71" t="s">
        <v>255</v>
      </c>
      <c r="H49" s="67" t="s">
        <v>135</v>
      </c>
      <c r="I49" s="208" t="s">
        <v>23</v>
      </c>
      <c r="J49" s="220"/>
      <c r="K49" s="46"/>
      <c r="L49" s="216">
        <f>16349.09+617550.91</f>
        <v>633900</v>
      </c>
      <c r="M49" s="216">
        <v>0</v>
      </c>
      <c r="N49" s="216">
        <v>300000</v>
      </c>
      <c r="O49" s="216">
        <v>0</v>
      </c>
      <c r="P49" s="216">
        <v>0</v>
      </c>
      <c r="Q49" s="216">
        <v>0</v>
      </c>
      <c r="R49" s="216">
        <f>Q49+N49</f>
        <v>300000</v>
      </c>
      <c r="S49" s="217">
        <v>0</v>
      </c>
      <c r="T49" s="216">
        <v>0</v>
      </c>
      <c r="U49" s="216">
        <v>0</v>
      </c>
      <c r="V49" s="216">
        <v>0</v>
      </c>
      <c r="W49" s="216">
        <v>0</v>
      </c>
      <c r="X49" s="216">
        <v>0</v>
      </c>
      <c r="Y49" s="215">
        <v>0</v>
      </c>
      <c r="Z49" s="216">
        <v>0</v>
      </c>
    </row>
    <row r="50" spans="1:26" ht="51" x14ac:dyDescent="0.2">
      <c r="A50" s="188"/>
      <c r="B50" s="226" t="s">
        <v>439</v>
      </c>
      <c r="C50" s="104" t="s">
        <v>69</v>
      </c>
      <c r="D50" s="81" t="s">
        <v>137</v>
      </c>
      <c r="E50" s="66" t="s">
        <v>135</v>
      </c>
      <c r="F50" s="66" t="s">
        <v>135</v>
      </c>
      <c r="G50" s="71" t="s">
        <v>438</v>
      </c>
      <c r="H50" s="67" t="s">
        <v>135</v>
      </c>
      <c r="I50" s="208"/>
      <c r="J50" s="68"/>
      <c r="K50" s="69"/>
      <c r="L50" s="216">
        <f t="shared" ref="L50:Z51" si="16">L51</f>
        <v>633900</v>
      </c>
      <c r="M50" s="215">
        <f t="shared" si="16"/>
        <v>0</v>
      </c>
      <c r="N50" s="216">
        <f t="shared" si="16"/>
        <v>0</v>
      </c>
      <c r="O50" s="68">
        <f t="shared" si="16"/>
        <v>0</v>
      </c>
      <c r="P50" s="215">
        <f t="shared" si="16"/>
        <v>0</v>
      </c>
      <c r="Q50" s="215">
        <f t="shared" si="16"/>
        <v>457000</v>
      </c>
      <c r="R50" s="216">
        <f t="shared" si="16"/>
        <v>457000</v>
      </c>
      <c r="S50" s="217">
        <f t="shared" si="16"/>
        <v>0</v>
      </c>
      <c r="T50" s="217">
        <f t="shared" si="16"/>
        <v>0</v>
      </c>
      <c r="U50" s="215">
        <f t="shared" si="16"/>
        <v>0</v>
      </c>
      <c r="V50" s="216">
        <f t="shared" si="16"/>
        <v>0</v>
      </c>
      <c r="W50" s="217">
        <f t="shared" si="16"/>
        <v>0</v>
      </c>
      <c r="X50" s="216">
        <f t="shared" si="16"/>
        <v>0</v>
      </c>
      <c r="Y50" s="215">
        <f t="shared" si="16"/>
        <v>0</v>
      </c>
      <c r="Z50" s="216">
        <f t="shared" si="16"/>
        <v>0</v>
      </c>
    </row>
    <row r="51" spans="1:26" ht="25.5" x14ac:dyDescent="0.2">
      <c r="A51" s="188"/>
      <c r="B51" s="212" t="s">
        <v>21</v>
      </c>
      <c r="C51" s="104" t="s">
        <v>69</v>
      </c>
      <c r="D51" s="81" t="s">
        <v>137</v>
      </c>
      <c r="E51" s="66" t="s">
        <v>135</v>
      </c>
      <c r="F51" s="66" t="s">
        <v>135</v>
      </c>
      <c r="G51" s="71" t="s">
        <v>438</v>
      </c>
      <c r="H51" s="67" t="s">
        <v>135</v>
      </c>
      <c r="I51" s="208">
        <v>600</v>
      </c>
      <c r="J51" s="68"/>
      <c r="K51" s="69"/>
      <c r="L51" s="216">
        <f t="shared" si="16"/>
        <v>633900</v>
      </c>
      <c r="M51" s="215">
        <f t="shared" si="16"/>
        <v>0</v>
      </c>
      <c r="N51" s="216">
        <f t="shared" si="16"/>
        <v>0</v>
      </c>
      <c r="O51" s="68">
        <f t="shared" si="16"/>
        <v>0</v>
      </c>
      <c r="P51" s="215">
        <f t="shared" si="16"/>
        <v>0</v>
      </c>
      <c r="Q51" s="215">
        <f t="shared" si="16"/>
        <v>457000</v>
      </c>
      <c r="R51" s="216">
        <f t="shared" si="16"/>
        <v>457000</v>
      </c>
      <c r="S51" s="217">
        <f t="shared" si="16"/>
        <v>0</v>
      </c>
      <c r="T51" s="217">
        <f t="shared" si="16"/>
        <v>0</v>
      </c>
      <c r="U51" s="215">
        <f t="shared" si="16"/>
        <v>0</v>
      </c>
      <c r="V51" s="216">
        <f t="shared" si="16"/>
        <v>0</v>
      </c>
      <c r="W51" s="217">
        <f t="shared" si="16"/>
        <v>0</v>
      </c>
      <c r="X51" s="216">
        <f t="shared" si="16"/>
        <v>0</v>
      </c>
      <c r="Y51" s="215">
        <f t="shared" si="16"/>
        <v>0</v>
      </c>
      <c r="Z51" s="216">
        <f t="shared" si="16"/>
        <v>0</v>
      </c>
    </row>
    <row r="52" spans="1:26" ht="18.75" x14ac:dyDescent="0.2">
      <c r="A52" s="188"/>
      <c r="B52" s="212" t="s">
        <v>22</v>
      </c>
      <c r="C52" s="104" t="s">
        <v>69</v>
      </c>
      <c r="D52" s="81" t="s">
        <v>137</v>
      </c>
      <c r="E52" s="66" t="s">
        <v>135</v>
      </c>
      <c r="F52" s="66" t="s">
        <v>135</v>
      </c>
      <c r="G52" s="71" t="s">
        <v>438</v>
      </c>
      <c r="H52" s="67" t="s">
        <v>135</v>
      </c>
      <c r="I52" s="208" t="s">
        <v>23</v>
      </c>
      <c r="J52" s="68"/>
      <c r="K52" s="69"/>
      <c r="L52" s="216">
        <f>16349.09+617550.91</f>
        <v>633900</v>
      </c>
      <c r="M52" s="215">
        <v>0</v>
      </c>
      <c r="N52" s="216">
        <v>0</v>
      </c>
      <c r="O52" s="68">
        <v>0</v>
      </c>
      <c r="P52" s="215">
        <v>0</v>
      </c>
      <c r="Q52" s="215">
        <f>36000+421000</f>
        <v>457000</v>
      </c>
      <c r="R52" s="216">
        <f>Q52+N51</f>
        <v>457000</v>
      </c>
      <c r="S52" s="217">
        <v>0</v>
      </c>
      <c r="T52" s="217">
        <v>0</v>
      </c>
      <c r="U52" s="215">
        <v>0</v>
      </c>
      <c r="V52" s="216">
        <v>0</v>
      </c>
      <c r="W52" s="217">
        <v>0</v>
      </c>
      <c r="X52" s="216">
        <v>0</v>
      </c>
      <c r="Y52" s="215">
        <v>0</v>
      </c>
      <c r="Z52" s="216">
        <v>0</v>
      </c>
    </row>
    <row r="53" spans="1:26" ht="63.75" x14ac:dyDescent="0.2">
      <c r="A53" s="188"/>
      <c r="B53" s="500" t="s">
        <v>418</v>
      </c>
      <c r="C53" s="66" t="s">
        <v>69</v>
      </c>
      <c r="D53" s="70" t="s">
        <v>137</v>
      </c>
      <c r="E53" s="66" t="s">
        <v>135</v>
      </c>
      <c r="F53" s="66" t="s">
        <v>135</v>
      </c>
      <c r="G53" s="71" t="s">
        <v>398</v>
      </c>
      <c r="H53" s="67" t="s">
        <v>137</v>
      </c>
      <c r="I53" s="208"/>
      <c r="J53" s="68">
        <f t="shared" ref="J53:T54" si="17">J54</f>
        <v>0</v>
      </c>
      <c r="K53" s="69">
        <f t="shared" si="17"/>
        <v>0</v>
      </c>
      <c r="L53" s="69">
        <f t="shared" si="17"/>
        <v>2256500</v>
      </c>
      <c r="M53" s="69">
        <f t="shared" si="17"/>
        <v>0</v>
      </c>
      <c r="N53" s="216">
        <f t="shared" si="17"/>
        <v>1100000</v>
      </c>
      <c r="O53" s="498">
        <f t="shared" si="17"/>
        <v>0</v>
      </c>
      <c r="P53" s="69">
        <f t="shared" si="17"/>
        <v>0</v>
      </c>
      <c r="Q53" s="215">
        <f t="shared" si="17"/>
        <v>0</v>
      </c>
      <c r="R53" s="216">
        <f t="shared" si="17"/>
        <v>1100000</v>
      </c>
      <c r="S53" s="217">
        <f t="shared" si="17"/>
        <v>0</v>
      </c>
      <c r="T53" s="498">
        <f t="shared" si="17"/>
        <v>0</v>
      </c>
      <c r="U53" s="215"/>
      <c r="V53" s="216">
        <f t="shared" ref="V53:Z54" si="18">V54</f>
        <v>0</v>
      </c>
      <c r="W53" s="217">
        <f t="shared" si="18"/>
        <v>0</v>
      </c>
      <c r="X53" s="216">
        <f t="shared" si="18"/>
        <v>0</v>
      </c>
      <c r="Y53" s="215">
        <f t="shared" si="18"/>
        <v>0</v>
      </c>
      <c r="Z53" s="216">
        <f t="shared" si="18"/>
        <v>0</v>
      </c>
    </row>
    <row r="54" spans="1:26" ht="25.5" x14ac:dyDescent="0.2">
      <c r="A54" s="188"/>
      <c r="B54" s="500" t="s">
        <v>21</v>
      </c>
      <c r="C54" s="66" t="s">
        <v>69</v>
      </c>
      <c r="D54" s="70" t="s">
        <v>137</v>
      </c>
      <c r="E54" s="66" t="s">
        <v>135</v>
      </c>
      <c r="F54" s="66" t="s">
        <v>135</v>
      </c>
      <c r="G54" s="71" t="s">
        <v>398</v>
      </c>
      <c r="H54" s="67" t="s">
        <v>137</v>
      </c>
      <c r="I54" s="208" t="s">
        <v>149</v>
      </c>
      <c r="J54" s="68">
        <f t="shared" si="17"/>
        <v>0</v>
      </c>
      <c r="K54" s="69">
        <f t="shared" si="17"/>
        <v>0</v>
      </c>
      <c r="L54" s="69">
        <f>L55</f>
        <v>2256500</v>
      </c>
      <c r="M54" s="69">
        <f t="shared" si="17"/>
        <v>0</v>
      </c>
      <c r="N54" s="216">
        <f t="shared" si="17"/>
        <v>1100000</v>
      </c>
      <c r="O54" s="498">
        <f t="shared" si="17"/>
        <v>0</v>
      </c>
      <c r="P54" s="69">
        <f t="shared" si="17"/>
        <v>0</v>
      </c>
      <c r="Q54" s="215">
        <f t="shared" si="17"/>
        <v>0</v>
      </c>
      <c r="R54" s="216">
        <f t="shared" si="17"/>
        <v>1100000</v>
      </c>
      <c r="S54" s="217">
        <f t="shared" si="17"/>
        <v>0</v>
      </c>
      <c r="T54" s="498">
        <f t="shared" si="17"/>
        <v>0</v>
      </c>
      <c r="U54" s="215"/>
      <c r="V54" s="216">
        <f t="shared" si="18"/>
        <v>0</v>
      </c>
      <c r="W54" s="217">
        <f t="shared" si="18"/>
        <v>0</v>
      </c>
      <c r="X54" s="216">
        <f t="shared" si="18"/>
        <v>0</v>
      </c>
      <c r="Y54" s="215">
        <f t="shared" si="18"/>
        <v>0</v>
      </c>
      <c r="Z54" s="216">
        <f t="shared" si="18"/>
        <v>0</v>
      </c>
    </row>
    <row r="55" spans="1:26" ht="18.75" x14ac:dyDescent="0.2">
      <c r="A55" s="188"/>
      <c r="B55" s="500" t="s">
        <v>22</v>
      </c>
      <c r="C55" s="66" t="s">
        <v>69</v>
      </c>
      <c r="D55" s="70" t="s">
        <v>137</v>
      </c>
      <c r="E55" s="66" t="s">
        <v>135</v>
      </c>
      <c r="F55" s="66" t="s">
        <v>135</v>
      </c>
      <c r="G55" s="71" t="s">
        <v>398</v>
      </c>
      <c r="H55" s="67" t="s">
        <v>137</v>
      </c>
      <c r="I55" s="208" t="s">
        <v>23</v>
      </c>
      <c r="J55" s="68">
        <v>0</v>
      </c>
      <c r="K55" s="69">
        <v>0</v>
      </c>
      <c r="L55" s="69">
        <v>2256500</v>
      </c>
      <c r="M55" s="69">
        <v>0</v>
      </c>
      <c r="N55" s="216">
        <v>1100000</v>
      </c>
      <c r="O55" s="498">
        <v>0</v>
      </c>
      <c r="P55" s="69">
        <v>0</v>
      </c>
      <c r="Q55" s="215">
        <v>0</v>
      </c>
      <c r="R55" s="216">
        <f>N55</f>
        <v>1100000</v>
      </c>
      <c r="S55" s="217">
        <v>0</v>
      </c>
      <c r="T55" s="498">
        <v>0</v>
      </c>
      <c r="U55" s="215"/>
      <c r="V55" s="216">
        <v>0</v>
      </c>
      <c r="W55" s="217">
        <v>0</v>
      </c>
      <c r="X55" s="216">
        <v>0</v>
      </c>
      <c r="Y55" s="215">
        <v>0</v>
      </c>
      <c r="Z55" s="216">
        <v>0</v>
      </c>
    </row>
    <row r="56" spans="1:26" ht="38.25" x14ac:dyDescent="0.2">
      <c r="A56" s="188"/>
      <c r="B56" s="212" t="s">
        <v>347</v>
      </c>
      <c r="C56" s="103" t="s">
        <v>69</v>
      </c>
      <c r="D56" s="66" t="s">
        <v>137</v>
      </c>
      <c r="E56" s="66" t="s">
        <v>135</v>
      </c>
      <c r="F56" s="66" t="s">
        <v>135</v>
      </c>
      <c r="G56" s="72" t="s">
        <v>389</v>
      </c>
      <c r="H56" s="67" t="s">
        <v>135</v>
      </c>
      <c r="I56" s="372"/>
      <c r="J56" s="64" t="e">
        <f>J59+#REF!</f>
        <v>#REF!</v>
      </c>
      <c r="K56" s="65" t="e">
        <f>K59+#REF!</f>
        <v>#REF!</v>
      </c>
      <c r="L56" s="224">
        <f t="shared" ref="L56:Z56" si="19">L59</f>
        <v>0</v>
      </c>
      <c r="M56" s="224">
        <f t="shared" si="19"/>
        <v>0</v>
      </c>
      <c r="N56" s="224">
        <f>N59+N57</f>
        <v>950000</v>
      </c>
      <c r="O56" s="224">
        <f t="shared" ref="O56:Y56" si="20">O59+O57</f>
        <v>1120000</v>
      </c>
      <c r="P56" s="224">
        <f t="shared" si="20"/>
        <v>0</v>
      </c>
      <c r="Q56" s="224">
        <f t="shared" si="20"/>
        <v>7779667.3799999999</v>
      </c>
      <c r="R56" s="224">
        <f t="shared" si="20"/>
        <v>8729667.379999999</v>
      </c>
      <c r="S56" s="224">
        <f t="shared" si="20"/>
        <v>0</v>
      </c>
      <c r="T56" s="224">
        <f t="shared" si="20"/>
        <v>220000</v>
      </c>
      <c r="U56" s="224">
        <f t="shared" si="20"/>
        <v>0</v>
      </c>
      <c r="V56" s="224">
        <f t="shared" si="20"/>
        <v>0</v>
      </c>
      <c r="W56" s="224">
        <f t="shared" si="20"/>
        <v>0</v>
      </c>
      <c r="X56" s="224">
        <f t="shared" si="20"/>
        <v>0</v>
      </c>
      <c r="Y56" s="223">
        <f t="shared" si="20"/>
        <v>0</v>
      </c>
      <c r="Z56" s="224">
        <f t="shared" si="19"/>
        <v>0</v>
      </c>
    </row>
    <row r="57" spans="1:26" ht="25.5" x14ac:dyDescent="0.2">
      <c r="A57" s="188"/>
      <c r="B57" s="363" t="s">
        <v>187</v>
      </c>
      <c r="C57" s="103" t="s">
        <v>69</v>
      </c>
      <c r="D57" s="66" t="s">
        <v>137</v>
      </c>
      <c r="E57" s="66" t="s">
        <v>135</v>
      </c>
      <c r="F57" s="66" t="s">
        <v>135</v>
      </c>
      <c r="G57" s="72" t="s">
        <v>389</v>
      </c>
      <c r="H57" s="67" t="s">
        <v>135</v>
      </c>
      <c r="I57" s="372" t="s">
        <v>160</v>
      </c>
      <c r="J57" s="64"/>
      <c r="K57" s="65"/>
      <c r="L57" s="224"/>
      <c r="M57" s="224"/>
      <c r="N57" s="224">
        <f>N601</f>
        <v>0</v>
      </c>
      <c r="O57" s="223"/>
      <c r="P57" s="224"/>
      <c r="Q57" s="224">
        <f>Q58</f>
        <v>8245667.3799999999</v>
      </c>
      <c r="R57" s="224">
        <f>R58</f>
        <v>8245667.3799999999</v>
      </c>
      <c r="S57" s="224">
        <f t="shared" ref="S57:Z57" si="21">S58</f>
        <v>0</v>
      </c>
      <c r="T57" s="224">
        <f t="shared" si="21"/>
        <v>0</v>
      </c>
      <c r="U57" s="224">
        <f t="shared" si="21"/>
        <v>0</v>
      </c>
      <c r="V57" s="224">
        <f t="shared" si="21"/>
        <v>0</v>
      </c>
      <c r="W57" s="224">
        <f t="shared" si="21"/>
        <v>0</v>
      </c>
      <c r="X57" s="224">
        <f t="shared" si="21"/>
        <v>0</v>
      </c>
      <c r="Y57" s="223">
        <f t="shared" si="21"/>
        <v>0</v>
      </c>
      <c r="Z57" s="224">
        <f t="shared" si="21"/>
        <v>0</v>
      </c>
    </row>
    <row r="58" spans="1:26" ht="18.75" x14ac:dyDescent="0.2">
      <c r="A58" s="188"/>
      <c r="B58" s="364" t="s">
        <v>162</v>
      </c>
      <c r="C58" s="103" t="s">
        <v>69</v>
      </c>
      <c r="D58" s="66" t="s">
        <v>137</v>
      </c>
      <c r="E58" s="66" t="s">
        <v>135</v>
      </c>
      <c r="F58" s="66" t="s">
        <v>135</v>
      </c>
      <c r="G58" s="72" t="s">
        <v>389</v>
      </c>
      <c r="H58" s="67" t="s">
        <v>135</v>
      </c>
      <c r="I58" s="372" t="s">
        <v>161</v>
      </c>
      <c r="J58" s="64"/>
      <c r="K58" s="65"/>
      <c r="L58" s="224"/>
      <c r="M58" s="224"/>
      <c r="N58" s="224">
        <v>0</v>
      </c>
      <c r="O58" s="223"/>
      <c r="P58" s="224"/>
      <c r="Q58" s="224">
        <f>8245670-2.62</f>
        <v>8245667.3799999999</v>
      </c>
      <c r="R58" s="224">
        <f>Q58</f>
        <v>8245667.3799999999</v>
      </c>
      <c r="S58" s="224">
        <v>0</v>
      </c>
      <c r="T58" s="224">
        <v>0</v>
      </c>
      <c r="U58" s="224">
        <v>0</v>
      </c>
      <c r="V58" s="224">
        <v>0</v>
      </c>
      <c r="W58" s="224">
        <v>0</v>
      </c>
      <c r="X58" s="224">
        <v>0</v>
      </c>
      <c r="Y58" s="223">
        <v>0</v>
      </c>
      <c r="Z58" s="224">
        <v>0</v>
      </c>
    </row>
    <row r="59" spans="1:26" ht="25.5" x14ac:dyDescent="0.2">
      <c r="A59" s="188"/>
      <c r="B59" s="34" t="s">
        <v>21</v>
      </c>
      <c r="C59" s="103" t="s">
        <v>69</v>
      </c>
      <c r="D59" s="66" t="s">
        <v>137</v>
      </c>
      <c r="E59" s="66" t="s">
        <v>135</v>
      </c>
      <c r="F59" s="66" t="s">
        <v>135</v>
      </c>
      <c r="G59" s="72" t="s">
        <v>389</v>
      </c>
      <c r="H59" s="67" t="s">
        <v>135</v>
      </c>
      <c r="I59" s="372" t="s">
        <v>149</v>
      </c>
      <c r="J59" s="64">
        <f t="shared" ref="J59:Z59" si="22">J60</f>
        <v>60000</v>
      </c>
      <c r="K59" s="65">
        <f t="shared" si="22"/>
        <v>0</v>
      </c>
      <c r="L59" s="224">
        <f t="shared" si="22"/>
        <v>0</v>
      </c>
      <c r="M59" s="224">
        <f t="shared" si="22"/>
        <v>0</v>
      </c>
      <c r="N59" s="224">
        <f t="shared" si="22"/>
        <v>950000</v>
      </c>
      <c r="O59" s="223">
        <f t="shared" si="22"/>
        <v>1120000</v>
      </c>
      <c r="P59" s="224">
        <f t="shared" si="22"/>
        <v>0</v>
      </c>
      <c r="Q59" s="224">
        <f t="shared" si="22"/>
        <v>-466000</v>
      </c>
      <c r="R59" s="224">
        <f t="shared" si="22"/>
        <v>484000</v>
      </c>
      <c r="S59" s="225">
        <f t="shared" si="22"/>
        <v>0</v>
      </c>
      <c r="T59" s="224">
        <f t="shared" si="22"/>
        <v>220000</v>
      </c>
      <c r="U59" s="223">
        <f t="shared" si="22"/>
        <v>0</v>
      </c>
      <c r="V59" s="224">
        <f t="shared" si="22"/>
        <v>0</v>
      </c>
      <c r="W59" s="225">
        <f t="shared" si="22"/>
        <v>0</v>
      </c>
      <c r="X59" s="224">
        <f t="shared" si="22"/>
        <v>0</v>
      </c>
      <c r="Y59" s="223">
        <f t="shared" si="22"/>
        <v>0</v>
      </c>
      <c r="Z59" s="224">
        <f t="shared" si="22"/>
        <v>0</v>
      </c>
    </row>
    <row r="60" spans="1:26" ht="18.75" x14ac:dyDescent="0.2">
      <c r="A60" s="188"/>
      <c r="B60" s="34" t="s">
        <v>22</v>
      </c>
      <c r="C60" s="103" t="s">
        <v>69</v>
      </c>
      <c r="D60" s="66" t="s">
        <v>137</v>
      </c>
      <c r="E60" s="66" t="s">
        <v>135</v>
      </c>
      <c r="F60" s="66" t="s">
        <v>135</v>
      </c>
      <c r="G60" s="72" t="s">
        <v>389</v>
      </c>
      <c r="H60" s="67" t="s">
        <v>135</v>
      </c>
      <c r="I60" s="372" t="s">
        <v>23</v>
      </c>
      <c r="J60" s="64">
        <v>60000</v>
      </c>
      <c r="K60" s="65">
        <v>0</v>
      </c>
      <c r="L60" s="224">
        <v>0</v>
      </c>
      <c r="M60" s="224">
        <v>0</v>
      </c>
      <c r="N60" s="224">
        <v>950000</v>
      </c>
      <c r="O60" s="223">
        <v>1120000</v>
      </c>
      <c r="P60" s="224">
        <v>0</v>
      </c>
      <c r="Q60" s="224">
        <f>-600000+74000+60000</f>
        <v>-466000</v>
      </c>
      <c r="R60" s="224">
        <f>Q60+N60</f>
        <v>484000</v>
      </c>
      <c r="S60" s="225">
        <v>0</v>
      </c>
      <c r="T60" s="224">
        <v>220000</v>
      </c>
      <c r="U60" s="223">
        <v>0</v>
      </c>
      <c r="V60" s="224">
        <v>0</v>
      </c>
      <c r="W60" s="225">
        <v>0</v>
      </c>
      <c r="X60" s="224">
        <v>0</v>
      </c>
      <c r="Y60" s="223">
        <v>0</v>
      </c>
      <c r="Z60" s="224">
        <v>0</v>
      </c>
    </row>
    <row r="61" spans="1:26" ht="51" x14ac:dyDescent="0.2">
      <c r="A61" s="188"/>
      <c r="B61" s="507" t="s">
        <v>422</v>
      </c>
      <c r="C61" s="104" t="s">
        <v>69</v>
      </c>
      <c r="D61" s="81" t="s">
        <v>137</v>
      </c>
      <c r="E61" s="66" t="s">
        <v>410</v>
      </c>
      <c r="F61" s="66" t="s">
        <v>133</v>
      </c>
      <c r="G61" s="71" t="s">
        <v>421</v>
      </c>
      <c r="H61" s="67" t="s">
        <v>40</v>
      </c>
      <c r="I61" s="208"/>
      <c r="J61" s="68"/>
      <c r="K61" s="69"/>
      <c r="L61" s="502">
        <f t="shared" ref="L61:Z62" si="23">L62</f>
        <v>116959.06</v>
      </c>
      <c r="M61" s="69">
        <f t="shared" si="23"/>
        <v>0</v>
      </c>
      <c r="N61" s="216">
        <f t="shared" si="23"/>
        <v>119474.32</v>
      </c>
      <c r="O61" s="498">
        <f t="shared" si="23"/>
        <v>0</v>
      </c>
      <c r="P61" s="69">
        <f t="shared" si="23"/>
        <v>0</v>
      </c>
      <c r="Q61" s="215">
        <f t="shared" si="23"/>
        <v>0</v>
      </c>
      <c r="R61" s="215">
        <f t="shared" si="23"/>
        <v>119474.32</v>
      </c>
      <c r="S61" s="216">
        <f t="shared" si="23"/>
        <v>0</v>
      </c>
      <c r="T61" s="498">
        <f t="shared" si="23"/>
        <v>0</v>
      </c>
      <c r="U61" s="223"/>
      <c r="V61" s="216">
        <f t="shared" si="23"/>
        <v>0</v>
      </c>
      <c r="W61" s="216">
        <f t="shared" si="23"/>
        <v>0</v>
      </c>
      <c r="X61" s="216">
        <f t="shared" si="23"/>
        <v>0</v>
      </c>
      <c r="Y61" s="215">
        <f t="shared" si="23"/>
        <v>0</v>
      </c>
      <c r="Z61" s="216">
        <f t="shared" si="23"/>
        <v>0</v>
      </c>
    </row>
    <row r="62" spans="1:26" ht="25.5" x14ac:dyDescent="0.2">
      <c r="A62" s="188"/>
      <c r="B62" s="34" t="s">
        <v>21</v>
      </c>
      <c r="C62" s="104" t="s">
        <v>69</v>
      </c>
      <c r="D62" s="81" t="s">
        <v>137</v>
      </c>
      <c r="E62" s="66" t="s">
        <v>410</v>
      </c>
      <c r="F62" s="66" t="s">
        <v>133</v>
      </c>
      <c r="G62" s="71" t="s">
        <v>421</v>
      </c>
      <c r="H62" s="67" t="s">
        <v>40</v>
      </c>
      <c r="I62" s="208" t="s">
        <v>149</v>
      </c>
      <c r="J62" s="68"/>
      <c r="K62" s="69"/>
      <c r="L62" s="502">
        <f t="shared" si="23"/>
        <v>116959.06</v>
      </c>
      <c r="M62" s="69">
        <f t="shared" si="23"/>
        <v>0</v>
      </c>
      <c r="N62" s="216">
        <f t="shared" si="23"/>
        <v>119474.32</v>
      </c>
      <c r="O62" s="498">
        <f t="shared" si="23"/>
        <v>0</v>
      </c>
      <c r="P62" s="69">
        <f t="shared" si="23"/>
        <v>0</v>
      </c>
      <c r="Q62" s="215">
        <f t="shared" si="23"/>
        <v>0</v>
      </c>
      <c r="R62" s="215">
        <f t="shared" si="23"/>
        <v>119474.32</v>
      </c>
      <c r="S62" s="216">
        <f t="shared" si="23"/>
        <v>0</v>
      </c>
      <c r="T62" s="498">
        <f t="shared" si="23"/>
        <v>0</v>
      </c>
      <c r="U62" s="223"/>
      <c r="V62" s="216">
        <f t="shared" si="23"/>
        <v>0</v>
      </c>
      <c r="W62" s="216">
        <f t="shared" si="23"/>
        <v>0</v>
      </c>
      <c r="X62" s="216">
        <f t="shared" si="23"/>
        <v>0</v>
      </c>
      <c r="Y62" s="215">
        <f t="shared" si="23"/>
        <v>0</v>
      </c>
      <c r="Z62" s="216">
        <f t="shared" si="23"/>
        <v>0</v>
      </c>
    </row>
    <row r="63" spans="1:26" ht="18.75" x14ac:dyDescent="0.2">
      <c r="A63" s="188"/>
      <c r="B63" s="34" t="s">
        <v>22</v>
      </c>
      <c r="C63" s="104" t="s">
        <v>69</v>
      </c>
      <c r="D63" s="81" t="s">
        <v>137</v>
      </c>
      <c r="E63" s="66" t="s">
        <v>410</v>
      </c>
      <c r="F63" s="66" t="s">
        <v>133</v>
      </c>
      <c r="G63" s="71" t="s">
        <v>421</v>
      </c>
      <c r="H63" s="67" t="s">
        <v>40</v>
      </c>
      <c r="I63" s="208" t="s">
        <v>23</v>
      </c>
      <c r="J63" s="68"/>
      <c r="K63" s="69"/>
      <c r="L63" s="502">
        <v>116959.06</v>
      </c>
      <c r="M63" s="69">
        <v>0</v>
      </c>
      <c r="N63" s="216">
        <v>119474.32</v>
      </c>
      <c r="O63" s="498">
        <v>0</v>
      </c>
      <c r="P63" s="69">
        <v>0</v>
      </c>
      <c r="Q63" s="215">
        <v>0</v>
      </c>
      <c r="R63" s="215">
        <f>N63</f>
        <v>119474.32</v>
      </c>
      <c r="S63" s="216">
        <v>0</v>
      </c>
      <c r="T63" s="498">
        <f>S63</f>
        <v>0</v>
      </c>
      <c r="U63" s="223"/>
      <c r="V63" s="216">
        <v>0</v>
      </c>
      <c r="W63" s="216">
        <v>0</v>
      </c>
      <c r="X63" s="216">
        <v>0</v>
      </c>
      <c r="Y63" s="215">
        <v>0</v>
      </c>
      <c r="Z63" s="216">
        <v>0</v>
      </c>
    </row>
    <row r="64" spans="1:26" ht="11.25" customHeight="1" x14ac:dyDescent="0.2">
      <c r="A64" s="188"/>
      <c r="B64" s="362"/>
      <c r="C64" s="72"/>
      <c r="D64" s="72"/>
      <c r="E64" s="66"/>
      <c r="F64" s="66"/>
      <c r="G64" s="74"/>
      <c r="H64" s="67"/>
      <c r="I64" s="208"/>
      <c r="J64" s="118"/>
      <c r="K64" s="209"/>
      <c r="L64" s="209"/>
      <c r="M64" s="209"/>
      <c r="N64" s="209"/>
      <c r="O64" s="210"/>
      <c r="P64" s="210"/>
      <c r="Q64" s="209"/>
      <c r="R64" s="210"/>
      <c r="S64" s="211"/>
      <c r="T64" s="210"/>
      <c r="U64" s="210"/>
      <c r="V64" s="210"/>
      <c r="W64" s="210"/>
      <c r="X64" s="210"/>
      <c r="Y64" s="209"/>
      <c r="Z64" s="210"/>
    </row>
    <row r="65" spans="1:26" ht="25.5" x14ac:dyDescent="0.2">
      <c r="A65" s="188"/>
      <c r="B65" s="465" t="s">
        <v>342</v>
      </c>
      <c r="C65" s="229" t="s">
        <v>69</v>
      </c>
      <c r="D65" s="229" t="s">
        <v>133</v>
      </c>
      <c r="E65" s="230" t="s">
        <v>135</v>
      </c>
      <c r="F65" s="230" t="s">
        <v>135</v>
      </c>
      <c r="G65" s="229" t="s">
        <v>136</v>
      </c>
      <c r="H65" s="228" t="s">
        <v>135</v>
      </c>
      <c r="I65" s="208"/>
      <c r="J65" s="195">
        <f>J66+J69+J72+J75</f>
        <v>36867254.869999997</v>
      </c>
      <c r="K65" s="196">
        <f>K66+K69+K72+K75</f>
        <v>0</v>
      </c>
      <c r="L65" s="196">
        <f>L66+L69+L72+L75+L78</f>
        <v>50671487.840000004</v>
      </c>
      <c r="M65" s="196">
        <f>M66+M69+M72+M75+M78</f>
        <v>95268.86</v>
      </c>
      <c r="N65" s="196">
        <f>N66+N69+N72+N75+N78+N81+N84</f>
        <v>72343756.700000003</v>
      </c>
      <c r="O65" s="196">
        <f t="shared" ref="O65:Z65" si="24">O66+O69+O72+O75+O78+O81+O84</f>
        <v>56093346.57</v>
      </c>
      <c r="P65" s="196">
        <f t="shared" si="24"/>
        <v>-70786.55</v>
      </c>
      <c r="Q65" s="196">
        <f t="shared" si="24"/>
        <v>194795.62000000011</v>
      </c>
      <c r="R65" s="196">
        <f t="shared" si="24"/>
        <v>72538552.319999993</v>
      </c>
      <c r="S65" s="196">
        <f t="shared" si="24"/>
        <v>53782560.020000003</v>
      </c>
      <c r="T65" s="196">
        <f t="shared" si="24"/>
        <v>53043072.840000004</v>
      </c>
      <c r="U65" s="196">
        <f t="shared" si="24"/>
        <v>-33268.559999999998</v>
      </c>
      <c r="V65" s="196">
        <f t="shared" si="24"/>
        <v>0</v>
      </c>
      <c r="W65" s="196">
        <f t="shared" si="24"/>
        <v>53782560.020000003</v>
      </c>
      <c r="X65" s="196">
        <f t="shared" si="24"/>
        <v>52569804.280000001</v>
      </c>
      <c r="Y65" s="196">
        <f t="shared" si="24"/>
        <v>0</v>
      </c>
      <c r="Z65" s="197">
        <f t="shared" si="24"/>
        <v>52569804.280000001</v>
      </c>
    </row>
    <row r="66" spans="1:26" ht="18.75" x14ac:dyDescent="0.2">
      <c r="A66" s="188"/>
      <c r="B66" s="362" t="s">
        <v>10</v>
      </c>
      <c r="C66" s="81" t="s">
        <v>69</v>
      </c>
      <c r="D66" s="81" t="s">
        <v>133</v>
      </c>
      <c r="E66" s="66" t="s">
        <v>135</v>
      </c>
      <c r="F66" s="66" t="s">
        <v>135</v>
      </c>
      <c r="G66" s="81" t="s">
        <v>12</v>
      </c>
      <c r="H66" s="67" t="s">
        <v>135</v>
      </c>
      <c r="I66" s="219"/>
      <c r="J66" s="118">
        <f t="shared" ref="J66:Y67" si="25">J67</f>
        <v>500000</v>
      </c>
      <c r="K66" s="209">
        <f t="shared" si="25"/>
        <v>0</v>
      </c>
      <c r="L66" s="209">
        <f t="shared" si="25"/>
        <v>0</v>
      </c>
      <c r="M66" s="209">
        <f t="shared" si="25"/>
        <v>166000</v>
      </c>
      <c r="N66" s="209">
        <f t="shared" si="25"/>
        <v>0</v>
      </c>
      <c r="O66" s="210">
        <f t="shared" si="25"/>
        <v>3181500</v>
      </c>
      <c r="P66" s="210">
        <f t="shared" si="25"/>
        <v>0</v>
      </c>
      <c r="Q66" s="209">
        <f t="shared" si="25"/>
        <v>0</v>
      </c>
      <c r="R66" s="210">
        <f t="shared" si="25"/>
        <v>0</v>
      </c>
      <c r="S66" s="211">
        <f t="shared" si="25"/>
        <v>3181500</v>
      </c>
      <c r="T66" s="210">
        <f t="shared" si="25"/>
        <v>1960500</v>
      </c>
      <c r="U66" s="210">
        <f t="shared" si="25"/>
        <v>0</v>
      </c>
      <c r="V66" s="210">
        <f t="shared" si="25"/>
        <v>0</v>
      </c>
      <c r="W66" s="210">
        <f t="shared" si="25"/>
        <v>3181500</v>
      </c>
      <c r="X66" s="210">
        <f t="shared" si="25"/>
        <v>1960500</v>
      </c>
      <c r="Y66" s="209">
        <f t="shared" si="25"/>
        <v>0</v>
      </c>
      <c r="Z66" s="210">
        <f>Z67</f>
        <v>1960500</v>
      </c>
    </row>
    <row r="67" spans="1:26" ht="25.5" x14ac:dyDescent="0.2">
      <c r="A67" s="188"/>
      <c r="B67" s="362" t="s">
        <v>21</v>
      </c>
      <c r="C67" s="66" t="s">
        <v>69</v>
      </c>
      <c r="D67" s="66" t="s">
        <v>133</v>
      </c>
      <c r="E67" s="66" t="s">
        <v>135</v>
      </c>
      <c r="F67" s="66" t="s">
        <v>135</v>
      </c>
      <c r="G67" s="66" t="s">
        <v>12</v>
      </c>
      <c r="H67" s="67" t="s">
        <v>135</v>
      </c>
      <c r="I67" s="214" t="s">
        <v>149</v>
      </c>
      <c r="J67" s="118">
        <f t="shared" si="25"/>
        <v>500000</v>
      </c>
      <c r="K67" s="209">
        <f t="shared" si="25"/>
        <v>0</v>
      </c>
      <c r="L67" s="224">
        <f t="shared" si="25"/>
        <v>0</v>
      </c>
      <c r="M67" s="224">
        <f t="shared" si="25"/>
        <v>166000</v>
      </c>
      <c r="N67" s="224">
        <f t="shared" si="25"/>
        <v>0</v>
      </c>
      <c r="O67" s="224">
        <f t="shared" si="25"/>
        <v>3181500</v>
      </c>
      <c r="P67" s="224">
        <f t="shared" si="25"/>
        <v>0</v>
      </c>
      <c r="Q67" s="224">
        <f t="shared" si="25"/>
        <v>0</v>
      </c>
      <c r="R67" s="224">
        <f t="shared" si="25"/>
        <v>0</v>
      </c>
      <c r="S67" s="225">
        <f t="shared" si="25"/>
        <v>3181500</v>
      </c>
      <c r="T67" s="224">
        <f t="shared" si="25"/>
        <v>1960500</v>
      </c>
      <c r="U67" s="224">
        <f t="shared" si="25"/>
        <v>0</v>
      </c>
      <c r="V67" s="224">
        <f t="shared" si="25"/>
        <v>0</v>
      </c>
      <c r="W67" s="224">
        <f t="shared" si="25"/>
        <v>3181500</v>
      </c>
      <c r="X67" s="224">
        <f t="shared" si="25"/>
        <v>1960500</v>
      </c>
      <c r="Y67" s="223">
        <f>Y68</f>
        <v>0</v>
      </c>
      <c r="Z67" s="224">
        <f>Z68</f>
        <v>1960500</v>
      </c>
    </row>
    <row r="68" spans="1:26" ht="18.75" x14ac:dyDescent="0.2">
      <c r="A68" s="188"/>
      <c r="B68" s="362" t="s">
        <v>22</v>
      </c>
      <c r="C68" s="66" t="s">
        <v>69</v>
      </c>
      <c r="D68" s="66" t="s">
        <v>133</v>
      </c>
      <c r="E68" s="66" t="s">
        <v>135</v>
      </c>
      <c r="F68" s="66" t="s">
        <v>135</v>
      </c>
      <c r="G68" s="66" t="s">
        <v>12</v>
      </c>
      <c r="H68" s="67" t="s">
        <v>135</v>
      </c>
      <c r="I68" s="214" t="s">
        <v>23</v>
      </c>
      <c r="J68" s="118">
        <v>500000</v>
      </c>
      <c r="K68" s="209">
        <v>0</v>
      </c>
      <c r="L68" s="224">
        <v>0</v>
      </c>
      <c r="M68" s="224">
        <v>166000</v>
      </c>
      <c r="N68" s="224">
        <v>0</v>
      </c>
      <c r="O68" s="224">
        <v>3181500</v>
      </c>
      <c r="P68" s="224">
        <v>0</v>
      </c>
      <c r="Q68" s="224">
        <v>0</v>
      </c>
      <c r="R68" s="224">
        <f>Q68+N68</f>
        <v>0</v>
      </c>
      <c r="S68" s="224">
        <v>3181500</v>
      </c>
      <c r="T68" s="224">
        <v>1960500</v>
      </c>
      <c r="U68" s="224">
        <v>0</v>
      </c>
      <c r="V68" s="224">
        <v>0</v>
      </c>
      <c r="W68" s="224">
        <v>3181500</v>
      </c>
      <c r="X68" s="224">
        <v>1960500</v>
      </c>
      <c r="Y68" s="223">
        <v>0</v>
      </c>
      <c r="Z68" s="224">
        <v>1960500</v>
      </c>
    </row>
    <row r="69" spans="1:26" ht="18.75" x14ac:dyDescent="0.2">
      <c r="A69" s="188"/>
      <c r="B69" s="362" t="s">
        <v>145</v>
      </c>
      <c r="C69" s="81" t="s">
        <v>69</v>
      </c>
      <c r="D69" s="81" t="s">
        <v>133</v>
      </c>
      <c r="E69" s="66" t="s">
        <v>135</v>
      </c>
      <c r="F69" s="66" t="s">
        <v>135</v>
      </c>
      <c r="G69" s="71" t="s">
        <v>146</v>
      </c>
      <c r="H69" s="67" t="s">
        <v>135</v>
      </c>
      <c r="I69" s="208"/>
      <c r="J69" s="118">
        <f t="shared" ref="J69:Y70" si="26">J70</f>
        <v>35580000</v>
      </c>
      <c r="K69" s="209">
        <f t="shared" si="26"/>
        <v>0</v>
      </c>
      <c r="L69" s="209">
        <f t="shared" si="26"/>
        <v>49789300</v>
      </c>
      <c r="M69" s="209">
        <f t="shared" si="26"/>
        <v>0</v>
      </c>
      <c r="N69" s="209">
        <f t="shared" si="26"/>
        <v>49738034.689999998</v>
      </c>
      <c r="O69" s="210">
        <f t="shared" si="26"/>
        <v>49789300</v>
      </c>
      <c r="P69" s="210">
        <f t="shared" si="26"/>
        <v>0</v>
      </c>
      <c r="Q69" s="209">
        <f t="shared" si="26"/>
        <v>-2075.31</v>
      </c>
      <c r="R69" s="209">
        <f t="shared" si="26"/>
        <v>49735959.379999995</v>
      </c>
      <c r="S69" s="210">
        <f t="shared" si="26"/>
        <v>49789300</v>
      </c>
      <c r="T69" s="210">
        <f t="shared" si="26"/>
        <v>49789300</v>
      </c>
      <c r="U69" s="210">
        <f t="shared" si="26"/>
        <v>0</v>
      </c>
      <c r="V69" s="210">
        <f t="shared" si="26"/>
        <v>0</v>
      </c>
      <c r="W69" s="210">
        <f t="shared" si="26"/>
        <v>49789300</v>
      </c>
      <c r="X69" s="210">
        <f t="shared" si="26"/>
        <v>49789300</v>
      </c>
      <c r="Y69" s="209">
        <f t="shared" si="26"/>
        <v>0</v>
      </c>
      <c r="Z69" s="210">
        <f>Z70</f>
        <v>49789300</v>
      </c>
    </row>
    <row r="70" spans="1:26" ht="25.5" x14ac:dyDescent="0.2">
      <c r="A70" s="188"/>
      <c r="B70" s="212" t="s">
        <v>21</v>
      </c>
      <c r="C70" s="104" t="s">
        <v>69</v>
      </c>
      <c r="D70" s="81" t="s">
        <v>133</v>
      </c>
      <c r="E70" s="66" t="s">
        <v>135</v>
      </c>
      <c r="F70" s="66" t="s">
        <v>135</v>
      </c>
      <c r="G70" s="71" t="s">
        <v>146</v>
      </c>
      <c r="H70" s="67" t="s">
        <v>135</v>
      </c>
      <c r="I70" s="208">
        <v>600</v>
      </c>
      <c r="J70" s="118">
        <f t="shared" si="26"/>
        <v>35580000</v>
      </c>
      <c r="K70" s="209">
        <f t="shared" si="26"/>
        <v>0</v>
      </c>
      <c r="L70" s="216">
        <f t="shared" si="26"/>
        <v>49789300</v>
      </c>
      <c r="M70" s="216">
        <f t="shared" si="26"/>
        <v>0</v>
      </c>
      <c r="N70" s="216">
        <f t="shared" si="26"/>
        <v>49738034.689999998</v>
      </c>
      <c r="O70" s="216">
        <f t="shared" si="26"/>
        <v>49789300</v>
      </c>
      <c r="P70" s="216">
        <f t="shared" si="26"/>
        <v>0</v>
      </c>
      <c r="Q70" s="216">
        <f t="shared" si="26"/>
        <v>-2075.31</v>
      </c>
      <c r="R70" s="216">
        <f t="shared" si="26"/>
        <v>49735959.379999995</v>
      </c>
      <c r="S70" s="216">
        <f t="shared" si="26"/>
        <v>49789300</v>
      </c>
      <c r="T70" s="216">
        <f t="shared" si="26"/>
        <v>49789300</v>
      </c>
      <c r="U70" s="216">
        <f t="shared" si="26"/>
        <v>0</v>
      </c>
      <c r="V70" s="216">
        <f t="shared" si="26"/>
        <v>0</v>
      </c>
      <c r="W70" s="216">
        <f t="shared" si="26"/>
        <v>49789300</v>
      </c>
      <c r="X70" s="216">
        <f t="shared" si="26"/>
        <v>49789300</v>
      </c>
      <c r="Y70" s="215">
        <f>Y71</f>
        <v>0</v>
      </c>
      <c r="Z70" s="216">
        <f>Z71</f>
        <v>49789300</v>
      </c>
    </row>
    <row r="71" spans="1:26" ht="18.75" x14ac:dyDescent="0.2">
      <c r="A71" s="188"/>
      <c r="B71" s="212" t="s">
        <v>22</v>
      </c>
      <c r="C71" s="104" t="s">
        <v>69</v>
      </c>
      <c r="D71" s="81" t="s">
        <v>133</v>
      </c>
      <c r="E71" s="66" t="s">
        <v>135</v>
      </c>
      <c r="F71" s="66" t="s">
        <v>135</v>
      </c>
      <c r="G71" s="71" t="s">
        <v>146</v>
      </c>
      <c r="H71" s="67" t="s">
        <v>135</v>
      </c>
      <c r="I71" s="208" t="s">
        <v>23</v>
      </c>
      <c r="J71" s="118">
        <v>35580000</v>
      </c>
      <c r="K71" s="209">
        <v>0</v>
      </c>
      <c r="L71" s="216">
        <v>49789300</v>
      </c>
      <c r="M71" s="216">
        <v>0</v>
      </c>
      <c r="N71" s="216">
        <v>49738034.689999998</v>
      </c>
      <c r="O71" s="216">
        <v>49789300</v>
      </c>
      <c r="P71" s="216">
        <v>0</v>
      </c>
      <c r="Q71" s="216">
        <f>-2075.31</f>
        <v>-2075.31</v>
      </c>
      <c r="R71" s="216">
        <f>Q71+N71</f>
        <v>49735959.379999995</v>
      </c>
      <c r="S71" s="216">
        <v>49789300</v>
      </c>
      <c r="T71" s="216">
        <v>49789300</v>
      </c>
      <c r="U71" s="216">
        <v>0</v>
      </c>
      <c r="V71" s="216">
        <v>0</v>
      </c>
      <c r="W71" s="216">
        <v>49789300</v>
      </c>
      <c r="X71" s="216">
        <v>49789300</v>
      </c>
      <c r="Y71" s="215">
        <v>0</v>
      </c>
      <c r="Z71" s="216">
        <v>49789300</v>
      </c>
    </row>
    <row r="72" spans="1:26" ht="38.25" x14ac:dyDescent="0.2">
      <c r="A72" s="188"/>
      <c r="B72" s="207" t="s">
        <v>354</v>
      </c>
      <c r="C72" s="104" t="s">
        <v>69</v>
      </c>
      <c r="D72" s="81" t="s">
        <v>133</v>
      </c>
      <c r="E72" s="66" t="s">
        <v>135</v>
      </c>
      <c r="F72" s="66" t="s">
        <v>135</v>
      </c>
      <c r="G72" s="71" t="s">
        <v>225</v>
      </c>
      <c r="H72" s="67" t="s">
        <v>135</v>
      </c>
      <c r="I72" s="208"/>
      <c r="J72" s="118">
        <f t="shared" ref="J72:Y73" si="27">J73</f>
        <v>390000</v>
      </c>
      <c r="K72" s="209">
        <f t="shared" si="27"/>
        <v>0</v>
      </c>
      <c r="L72" s="209">
        <f t="shared" si="27"/>
        <v>390000</v>
      </c>
      <c r="M72" s="209">
        <f t="shared" si="27"/>
        <v>0</v>
      </c>
      <c r="N72" s="209">
        <f t="shared" si="27"/>
        <v>390000</v>
      </c>
      <c r="O72" s="210">
        <f t="shared" si="27"/>
        <v>390000</v>
      </c>
      <c r="P72" s="210">
        <f t="shared" si="27"/>
        <v>0</v>
      </c>
      <c r="Q72" s="209">
        <f t="shared" si="27"/>
        <v>0</v>
      </c>
      <c r="R72" s="209">
        <f t="shared" si="27"/>
        <v>390000</v>
      </c>
      <c r="S72" s="210">
        <f t="shared" si="27"/>
        <v>390000</v>
      </c>
      <c r="T72" s="210">
        <f t="shared" si="27"/>
        <v>390000</v>
      </c>
      <c r="U72" s="210">
        <f t="shared" si="27"/>
        <v>0</v>
      </c>
      <c r="V72" s="210">
        <f t="shared" si="27"/>
        <v>0</v>
      </c>
      <c r="W72" s="210">
        <f t="shared" si="27"/>
        <v>390000</v>
      </c>
      <c r="X72" s="210">
        <f t="shared" si="27"/>
        <v>390000</v>
      </c>
      <c r="Y72" s="209">
        <f t="shared" si="27"/>
        <v>0</v>
      </c>
      <c r="Z72" s="210">
        <f>Z73</f>
        <v>390000</v>
      </c>
    </row>
    <row r="73" spans="1:26" ht="25.5" x14ac:dyDescent="0.2">
      <c r="A73" s="188"/>
      <c r="B73" s="212" t="s">
        <v>21</v>
      </c>
      <c r="C73" s="104" t="s">
        <v>69</v>
      </c>
      <c r="D73" s="81" t="s">
        <v>133</v>
      </c>
      <c r="E73" s="66" t="s">
        <v>135</v>
      </c>
      <c r="F73" s="66" t="s">
        <v>135</v>
      </c>
      <c r="G73" s="71" t="s">
        <v>225</v>
      </c>
      <c r="H73" s="67" t="s">
        <v>135</v>
      </c>
      <c r="I73" s="208">
        <v>600</v>
      </c>
      <c r="J73" s="118">
        <f t="shared" si="27"/>
        <v>390000</v>
      </c>
      <c r="K73" s="209">
        <f t="shared" si="27"/>
        <v>0</v>
      </c>
      <c r="L73" s="216">
        <f t="shared" si="27"/>
        <v>390000</v>
      </c>
      <c r="M73" s="216">
        <f t="shared" si="27"/>
        <v>0</v>
      </c>
      <c r="N73" s="216">
        <f t="shared" si="27"/>
        <v>390000</v>
      </c>
      <c r="O73" s="216">
        <f t="shared" si="27"/>
        <v>390000</v>
      </c>
      <c r="P73" s="216">
        <f t="shared" si="27"/>
        <v>0</v>
      </c>
      <c r="Q73" s="216">
        <f t="shared" si="27"/>
        <v>0</v>
      </c>
      <c r="R73" s="216">
        <f t="shared" si="27"/>
        <v>390000</v>
      </c>
      <c r="S73" s="216">
        <f t="shared" si="27"/>
        <v>390000</v>
      </c>
      <c r="T73" s="216">
        <f t="shared" si="27"/>
        <v>390000</v>
      </c>
      <c r="U73" s="216">
        <f t="shared" si="27"/>
        <v>0</v>
      </c>
      <c r="V73" s="216">
        <f t="shared" si="27"/>
        <v>0</v>
      </c>
      <c r="W73" s="216">
        <f t="shared" si="27"/>
        <v>390000</v>
      </c>
      <c r="X73" s="216">
        <f t="shared" si="27"/>
        <v>390000</v>
      </c>
      <c r="Y73" s="215">
        <f>Y74</f>
        <v>0</v>
      </c>
      <c r="Z73" s="216">
        <f>Z74</f>
        <v>390000</v>
      </c>
    </row>
    <row r="74" spans="1:26" ht="18.75" x14ac:dyDescent="0.2">
      <c r="A74" s="188"/>
      <c r="B74" s="212" t="s">
        <v>22</v>
      </c>
      <c r="C74" s="104" t="s">
        <v>69</v>
      </c>
      <c r="D74" s="81" t="s">
        <v>133</v>
      </c>
      <c r="E74" s="66" t="s">
        <v>135</v>
      </c>
      <c r="F74" s="66" t="s">
        <v>135</v>
      </c>
      <c r="G74" s="71" t="s">
        <v>225</v>
      </c>
      <c r="H74" s="67" t="s">
        <v>135</v>
      </c>
      <c r="I74" s="208" t="s">
        <v>23</v>
      </c>
      <c r="J74" s="118">
        <v>390000</v>
      </c>
      <c r="K74" s="209">
        <v>0</v>
      </c>
      <c r="L74" s="216">
        <v>390000</v>
      </c>
      <c r="M74" s="216">
        <v>0</v>
      </c>
      <c r="N74" s="216">
        <v>390000</v>
      </c>
      <c r="O74" s="216">
        <v>390000</v>
      </c>
      <c r="P74" s="216">
        <v>0</v>
      </c>
      <c r="Q74" s="216">
        <v>0</v>
      </c>
      <c r="R74" s="216">
        <v>390000</v>
      </c>
      <c r="S74" s="216">
        <v>390000</v>
      </c>
      <c r="T74" s="216">
        <v>390000</v>
      </c>
      <c r="U74" s="216">
        <v>0</v>
      </c>
      <c r="V74" s="216">
        <v>0</v>
      </c>
      <c r="W74" s="216">
        <v>390000</v>
      </c>
      <c r="X74" s="216">
        <v>390000</v>
      </c>
      <c r="Y74" s="215">
        <v>0</v>
      </c>
      <c r="Z74" s="216">
        <v>390000</v>
      </c>
    </row>
    <row r="75" spans="1:26" ht="63.75" x14ac:dyDescent="0.2">
      <c r="A75" s="188"/>
      <c r="B75" s="226" t="s">
        <v>298</v>
      </c>
      <c r="C75" s="104" t="s">
        <v>69</v>
      </c>
      <c r="D75" s="81" t="s">
        <v>133</v>
      </c>
      <c r="E75" s="66" t="s">
        <v>135</v>
      </c>
      <c r="F75" s="66" t="s">
        <v>135</v>
      </c>
      <c r="G75" s="71" t="s">
        <v>230</v>
      </c>
      <c r="H75" s="67" t="s">
        <v>240</v>
      </c>
      <c r="I75" s="208"/>
      <c r="J75" s="118">
        <f t="shared" ref="J75:Y76" si="28">J76</f>
        <v>397254.87</v>
      </c>
      <c r="K75" s="209">
        <f t="shared" si="28"/>
        <v>0</v>
      </c>
      <c r="L75" s="216">
        <f t="shared" si="28"/>
        <v>307502.09999999998</v>
      </c>
      <c r="M75" s="216">
        <f t="shared" si="28"/>
        <v>-68645.83</v>
      </c>
      <c r="N75" s="216">
        <f t="shared" si="28"/>
        <v>238856.26999999996</v>
      </c>
      <c r="O75" s="215">
        <f t="shared" si="28"/>
        <v>307860.83</v>
      </c>
      <c r="P75" s="216">
        <f t="shared" si="28"/>
        <v>-68701.240000000005</v>
      </c>
      <c r="Q75" s="216">
        <f t="shared" si="28"/>
        <v>1176.1600000000001</v>
      </c>
      <c r="R75" s="216">
        <f t="shared" si="28"/>
        <v>240032.42999999996</v>
      </c>
      <c r="S75" s="216">
        <f t="shared" si="28"/>
        <v>239159.59000000003</v>
      </c>
      <c r="T75" s="216">
        <f t="shared" si="28"/>
        <v>276587.09999999998</v>
      </c>
      <c r="U75" s="216">
        <f t="shared" si="28"/>
        <v>-31183.25</v>
      </c>
      <c r="V75" s="216">
        <f t="shared" si="28"/>
        <v>0</v>
      </c>
      <c r="W75" s="216">
        <f t="shared" si="28"/>
        <v>239159.59</v>
      </c>
      <c r="X75" s="216">
        <f t="shared" si="28"/>
        <v>245403.84999999998</v>
      </c>
      <c r="Y75" s="215">
        <f t="shared" si="28"/>
        <v>0</v>
      </c>
      <c r="Z75" s="216">
        <f>Z76</f>
        <v>245403.85</v>
      </c>
    </row>
    <row r="76" spans="1:26" ht="25.5" x14ac:dyDescent="0.2">
      <c r="A76" s="188"/>
      <c r="B76" s="212" t="s">
        <v>21</v>
      </c>
      <c r="C76" s="104" t="s">
        <v>69</v>
      </c>
      <c r="D76" s="81" t="s">
        <v>133</v>
      </c>
      <c r="E76" s="66" t="s">
        <v>135</v>
      </c>
      <c r="F76" s="66" t="s">
        <v>135</v>
      </c>
      <c r="G76" s="71" t="s">
        <v>230</v>
      </c>
      <c r="H76" s="67" t="s">
        <v>240</v>
      </c>
      <c r="I76" s="208">
        <v>600</v>
      </c>
      <c r="J76" s="118">
        <f t="shared" si="28"/>
        <v>397254.87</v>
      </c>
      <c r="K76" s="209">
        <f t="shared" si="28"/>
        <v>0</v>
      </c>
      <c r="L76" s="216">
        <f t="shared" si="28"/>
        <v>307502.09999999998</v>
      </c>
      <c r="M76" s="216">
        <f t="shared" si="28"/>
        <v>-68645.83</v>
      </c>
      <c r="N76" s="216">
        <f t="shared" si="28"/>
        <v>238856.26999999996</v>
      </c>
      <c r="O76" s="215">
        <f t="shared" si="28"/>
        <v>307860.83</v>
      </c>
      <c r="P76" s="216">
        <f t="shared" si="28"/>
        <v>-68701.240000000005</v>
      </c>
      <c r="Q76" s="216">
        <f t="shared" si="28"/>
        <v>1176.1600000000001</v>
      </c>
      <c r="R76" s="216">
        <f t="shared" si="28"/>
        <v>240032.42999999996</v>
      </c>
      <c r="S76" s="216">
        <f t="shared" si="28"/>
        <v>239159.59000000003</v>
      </c>
      <c r="T76" s="216">
        <f t="shared" si="28"/>
        <v>276587.09999999998</v>
      </c>
      <c r="U76" s="216">
        <f t="shared" si="28"/>
        <v>-31183.25</v>
      </c>
      <c r="V76" s="216">
        <f t="shared" si="28"/>
        <v>0</v>
      </c>
      <c r="W76" s="216">
        <f t="shared" si="28"/>
        <v>239159.59</v>
      </c>
      <c r="X76" s="216">
        <f t="shared" si="28"/>
        <v>245403.84999999998</v>
      </c>
      <c r="Y76" s="215">
        <f>Y77</f>
        <v>0</v>
      </c>
      <c r="Z76" s="216">
        <f>Z77</f>
        <v>245403.85</v>
      </c>
    </row>
    <row r="77" spans="1:26" ht="18.75" x14ac:dyDescent="0.2">
      <c r="A77" s="188"/>
      <c r="B77" s="212" t="s">
        <v>22</v>
      </c>
      <c r="C77" s="104" t="s">
        <v>69</v>
      </c>
      <c r="D77" s="81" t="s">
        <v>133</v>
      </c>
      <c r="E77" s="66" t="s">
        <v>135</v>
      </c>
      <c r="F77" s="66" t="s">
        <v>135</v>
      </c>
      <c r="G77" s="71" t="s">
        <v>230</v>
      </c>
      <c r="H77" s="67" t="s">
        <v>240</v>
      </c>
      <c r="I77" s="208" t="s">
        <v>23</v>
      </c>
      <c r="J77" s="118">
        <v>397254.87</v>
      </c>
      <c r="K77" s="209">
        <v>0</v>
      </c>
      <c r="L77" s="216">
        <f>287385.12+20116.98</f>
        <v>307502.09999999998</v>
      </c>
      <c r="M77" s="216">
        <f>-64154.96-4490.87</f>
        <v>-68645.83</v>
      </c>
      <c r="N77" s="216">
        <f>M77+L77</f>
        <v>238856.26999999996</v>
      </c>
      <c r="O77" s="215">
        <f>287720.4+20140.43</f>
        <v>307860.83</v>
      </c>
      <c r="P77" s="216">
        <f>-64206.76-4494.48</f>
        <v>-68701.240000000005</v>
      </c>
      <c r="Q77" s="216">
        <v>1176.1600000000001</v>
      </c>
      <c r="R77" s="216">
        <f>Q77+N77</f>
        <v>240032.42999999996</v>
      </c>
      <c r="S77" s="216">
        <f>P77+O77</f>
        <v>239159.59000000003</v>
      </c>
      <c r="T77" s="216">
        <f>258492.62+18094.48</f>
        <v>276587.09999999998</v>
      </c>
      <c r="U77" s="216">
        <f>-29143.23-2040.02</f>
        <v>-31183.25</v>
      </c>
      <c r="V77" s="216">
        <v>0</v>
      </c>
      <c r="W77" s="216">
        <v>239159.59</v>
      </c>
      <c r="X77" s="216">
        <f>U77+T77</f>
        <v>245403.84999999998</v>
      </c>
      <c r="Y77" s="215">
        <v>0</v>
      </c>
      <c r="Z77" s="216">
        <v>245403.85</v>
      </c>
    </row>
    <row r="78" spans="1:26" ht="63.75" x14ac:dyDescent="0.2">
      <c r="A78" s="188"/>
      <c r="B78" s="212" t="s">
        <v>297</v>
      </c>
      <c r="C78" s="104" t="s">
        <v>69</v>
      </c>
      <c r="D78" s="81" t="s">
        <v>133</v>
      </c>
      <c r="E78" s="66" t="s">
        <v>135</v>
      </c>
      <c r="F78" s="66" t="s">
        <v>135</v>
      </c>
      <c r="G78" s="81" t="s">
        <v>256</v>
      </c>
      <c r="H78" s="67" t="s">
        <v>135</v>
      </c>
      <c r="I78" s="219"/>
      <c r="J78" s="118"/>
      <c r="K78" s="209"/>
      <c r="L78" s="216">
        <f t="shared" ref="L78:Z79" si="29">L79</f>
        <v>184685.74</v>
      </c>
      <c r="M78" s="216">
        <f t="shared" si="29"/>
        <v>-2085.31</v>
      </c>
      <c r="N78" s="216">
        <f t="shared" si="29"/>
        <v>182600.43</v>
      </c>
      <c r="O78" s="215">
        <f t="shared" si="29"/>
        <v>184685.74</v>
      </c>
      <c r="P78" s="216">
        <f t="shared" si="29"/>
        <v>-2085.31</v>
      </c>
      <c r="Q78" s="216">
        <f t="shared" si="29"/>
        <v>899.15</v>
      </c>
      <c r="R78" s="216">
        <f t="shared" si="29"/>
        <v>183499.58</v>
      </c>
      <c r="S78" s="216">
        <f t="shared" si="29"/>
        <v>182600.43</v>
      </c>
      <c r="T78" s="216">
        <f t="shared" si="29"/>
        <v>186685.74</v>
      </c>
      <c r="U78" s="216">
        <f t="shared" si="29"/>
        <v>-2085.31</v>
      </c>
      <c r="V78" s="216">
        <f t="shared" si="29"/>
        <v>0</v>
      </c>
      <c r="W78" s="216">
        <f t="shared" si="29"/>
        <v>182600.43</v>
      </c>
      <c r="X78" s="216">
        <f t="shared" si="29"/>
        <v>184600.43</v>
      </c>
      <c r="Y78" s="215">
        <f t="shared" si="29"/>
        <v>0</v>
      </c>
      <c r="Z78" s="216">
        <f t="shared" si="29"/>
        <v>184600.43</v>
      </c>
    </row>
    <row r="79" spans="1:26" ht="25.5" x14ac:dyDescent="0.2">
      <c r="A79" s="188"/>
      <c r="B79" s="212" t="s">
        <v>21</v>
      </c>
      <c r="C79" s="103" t="s">
        <v>69</v>
      </c>
      <c r="D79" s="66" t="s">
        <v>133</v>
      </c>
      <c r="E79" s="66" t="s">
        <v>135</v>
      </c>
      <c r="F79" s="66" t="s">
        <v>135</v>
      </c>
      <c r="G79" s="66" t="s">
        <v>256</v>
      </c>
      <c r="H79" s="67" t="s">
        <v>135</v>
      </c>
      <c r="I79" s="214" t="s">
        <v>149</v>
      </c>
      <c r="J79" s="118"/>
      <c r="K79" s="209"/>
      <c r="L79" s="216">
        <f t="shared" si="29"/>
        <v>184685.74</v>
      </c>
      <c r="M79" s="216">
        <f t="shared" si="29"/>
        <v>-2085.31</v>
      </c>
      <c r="N79" s="216">
        <f t="shared" si="29"/>
        <v>182600.43</v>
      </c>
      <c r="O79" s="215">
        <f t="shared" si="29"/>
        <v>184685.74</v>
      </c>
      <c r="P79" s="216">
        <f t="shared" si="29"/>
        <v>-2085.31</v>
      </c>
      <c r="Q79" s="216">
        <f t="shared" si="29"/>
        <v>899.15</v>
      </c>
      <c r="R79" s="216">
        <f t="shared" si="29"/>
        <v>183499.58</v>
      </c>
      <c r="S79" s="216">
        <f t="shared" si="29"/>
        <v>182600.43</v>
      </c>
      <c r="T79" s="216">
        <f t="shared" si="29"/>
        <v>186685.74</v>
      </c>
      <c r="U79" s="216">
        <f t="shared" si="29"/>
        <v>-2085.31</v>
      </c>
      <c r="V79" s="216">
        <f t="shared" si="29"/>
        <v>0</v>
      </c>
      <c r="W79" s="216">
        <f t="shared" si="29"/>
        <v>182600.43</v>
      </c>
      <c r="X79" s="216">
        <f t="shared" si="29"/>
        <v>184600.43</v>
      </c>
      <c r="Y79" s="215">
        <f t="shared" si="29"/>
        <v>0</v>
      </c>
      <c r="Z79" s="216">
        <f t="shared" si="29"/>
        <v>184600.43</v>
      </c>
    </row>
    <row r="80" spans="1:26" ht="15" customHeight="1" x14ac:dyDescent="0.2">
      <c r="A80" s="188"/>
      <c r="B80" s="212" t="s">
        <v>22</v>
      </c>
      <c r="C80" s="103" t="s">
        <v>69</v>
      </c>
      <c r="D80" s="66" t="s">
        <v>133</v>
      </c>
      <c r="E80" s="66" t="s">
        <v>135</v>
      </c>
      <c r="F80" s="66" t="s">
        <v>135</v>
      </c>
      <c r="G80" s="66" t="s">
        <v>256</v>
      </c>
      <c r="H80" s="67" t="s">
        <v>135</v>
      </c>
      <c r="I80" s="214" t="s">
        <v>23</v>
      </c>
      <c r="J80" s="118"/>
      <c r="K80" s="209"/>
      <c r="L80" s="216">
        <f>172602.72+12083.02</f>
        <v>184685.74</v>
      </c>
      <c r="M80" s="216">
        <f>-1948.11-137.2</f>
        <v>-2085.31</v>
      </c>
      <c r="N80" s="216">
        <f>M80+L80</f>
        <v>182600.43</v>
      </c>
      <c r="O80" s="215">
        <f>172602.72+12083.02</f>
        <v>184685.74</v>
      </c>
      <c r="P80" s="216">
        <f>-1948.11-137.2</f>
        <v>-2085.31</v>
      </c>
      <c r="Q80" s="216">
        <v>899.15</v>
      </c>
      <c r="R80" s="216">
        <f>Q80+N80</f>
        <v>183499.58</v>
      </c>
      <c r="S80" s="216">
        <f>P80+O80</f>
        <v>182600.43</v>
      </c>
      <c r="T80" s="216">
        <f>172602.72+14083.02</f>
        <v>186685.74</v>
      </c>
      <c r="U80" s="216">
        <f>-1948.11-137.2</f>
        <v>-2085.31</v>
      </c>
      <c r="V80" s="216">
        <v>0</v>
      </c>
      <c r="W80" s="216">
        <v>182600.43</v>
      </c>
      <c r="X80" s="216">
        <f>U80+T80</f>
        <v>184600.43</v>
      </c>
      <c r="Y80" s="215">
        <v>0</v>
      </c>
      <c r="Z80" s="216">
        <v>184600.43</v>
      </c>
    </row>
    <row r="81" spans="1:26" ht="39" customHeight="1" x14ac:dyDescent="0.2">
      <c r="A81" s="188"/>
      <c r="B81" s="212" t="s">
        <v>347</v>
      </c>
      <c r="C81" s="103" t="s">
        <v>69</v>
      </c>
      <c r="D81" s="66" t="s">
        <v>133</v>
      </c>
      <c r="E81" s="66" t="s">
        <v>135</v>
      </c>
      <c r="F81" s="66" t="s">
        <v>135</v>
      </c>
      <c r="G81" s="72" t="s">
        <v>389</v>
      </c>
      <c r="H81" s="67" t="s">
        <v>135</v>
      </c>
      <c r="I81" s="372"/>
      <c r="J81" s="64" t="e">
        <f>J82+#REF!</f>
        <v>#REF!</v>
      </c>
      <c r="K81" s="65" t="e">
        <f>K82+#REF!</f>
        <v>#REF!</v>
      </c>
      <c r="L81" s="224">
        <f t="shared" ref="L81:Z81" si="30">L82</f>
        <v>0</v>
      </c>
      <c r="M81" s="224">
        <f t="shared" si="30"/>
        <v>0</v>
      </c>
      <c r="N81" s="224">
        <f t="shared" si="30"/>
        <v>13631000</v>
      </c>
      <c r="O81" s="223">
        <f t="shared" si="30"/>
        <v>1120000</v>
      </c>
      <c r="P81" s="224">
        <f t="shared" si="30"/>
        <v>0</v>
      </c>
      <c r="Q81" s="224">
        <f t="shared" si="30"/>
        <v>194795.62000000011</v>
      </c>
      <c r="R81" s="224">
        <f t="shared" si="30"/>
        <v>13825795.620000001</v>
      </c>
      <c r="S81" s="225">
        <f t="shared" si="30"/>
        <v>0</v>
      </c>
      <c r="T81" s="224">
        <f t="shared" si="30"/>
        <v>220000</v>
      </c>
      <c r="U81" s="223">
        <f t="shared" si="30"/>
        <v>0</v>
      </c>
      <c r="V81" s="224">
        <f t="shared" si="30"/>
        <v>0</v>
      </c>
      <c r="W81" s="225">
        <f t="shared" si="30"/>
        <v>0</v>
      </c>
      <c r="X81" s="224">
        <f t="shared" si="30"/>
        <v>0</v>
      </c>
      <c r="Y81" s="223">
        <f t="shared" si="30"/>
        <v>0</v>
      </c>
      <c r="Z81" s="224">
        <f t="shared" si="30"/>
        <v>0</v>
      </c>
    </row>
    <row r="82" spans="1:26" ht="35.25" customHeight="1" x14ac:dyDescent="0.2">
      <c r="A82" s="188"/>
      <c r="B82" s="34" t="s">
        <v>21</v>
      </c>
      <c r="C82" s="103" t="s">
        <v>69</v>
      </c>
      <c r="D82" s="66" t="s">
        <v>133</v>
      </c>
      <c r="E82" s="66" t="s">
        <v>135</v>
      </c>
      <c r="F82" s="66" t="s">
        <v>135</v>
      </c>
      <c r="G82" s="72" t="s">
        <v>389</v>
      </c>
      <c r="H82" s="67" t="s">
        <v>135</v>
      </c>
      <c r="I82" s="372" t="s">
        <v>149</v>
      </c>
      <c r="J82" s="64">
        <f t="shared" ref="J82:Z82" si="31">J83</f>
        <v>60000</v>
      </c>
      <c r="K82" s="65">
        <f t="shared" si="31"/>
        <v>0</v>
      </c>
      <c r="L82" s="224">
        <f t="shared" si="31"/>
        <v>0</v>
      </c>
      <c r="M82" s="224">
        <f t="shared" si="31"/>
        <v>0</v>
      </c>
      <c r="N82" s="224">
        <f t="shared" si="31"/>
        <v>13631000</v>
      </c>
      <c r="O82" s="223">
        <f t="shared" si="31"/>
        <v>1120000</v>
      </c>
      <c r="P82" s="224">
        <f t="shared" si="31"/>
        <v>0</v>
      </c>
      <c r="Q82" s="224">
        <f t="shared" si="31"/>
        <v>194795.62000000011</v>
      </c>
      <c r="R82" s="224">
        <f t="shared" si="31"/>
        <v>13825795.620000001</v>
      </c>
      <c r="S82" s="225">
        <f t="shared" si="31"/>
        <v>0</v>
      </c>
      <c r="T82" s="224">
        <f t="shared" si="31"/>
        <v>220000</v>
      </c>
      <c r="U82" s="223">
        <f t="shared" si="31"/>
        <v>0</v>
      </c>
      <c r="V82" s="224">
        <f t="shared" si="31"/>
        <v>0</v>
      </c>
      <c r="W82" s="225">
        <f t="shared" si="31"/>
        <v>0</v>
      </c>
      <c r="X82" s="224">
        <f t="shared" si="31"/>
        <v>0</v>
      </c>
      <c r="Y82" s="223">
        <f t="shared" si="31"/>
        <v>0</v>
      </c>
      <c r="Z82" s="224">
        <f t="shared" si="31"/>
        <v>0</v>
      </c>
    </row>
    <row r="83" spans="1:26" ht="15" customHeight="1" x14ac:dyDescent="0.2">
      <c r="A83" s="188"/>
      <c r="B83" s="34" t="s">
        <v>22</v>
      </c>
      <c r="C83" s="103" t="s">
        <v>69</v>
      </c>
      <c r="D83" s="66" t="s">
        <v>133</v>
      </c>
      <c r="E83" s="66" t="s">
        <v>135</v>
      </c>
      <c r="F83" s="66" t="s">
        <v>135</v>
      </c>
      <c r="G83" s="72" t="s">
        <v>389</v>
      </c>
      <c r="H83" s="67" t="s">
        <v>135</v>
      </c>
      <c r="I83" s="372" t="s">
        <v>23</v>
      </c>
      <c r="J83" s="64">
        <v>60000</v>
      </c>
      <c r="K83" s="65">
        <v>0</v>
      </c>
      <c r="L83" s="224">
        <v>0</v>
      </c>
      <c r="M83" s="224">
        <v>0</v>
      </c>
      <c r="N83" s="224">
        <v>13631000</v>
      </c>
      <c r="O83" s="223">
        <v>1120000</v>
      </c>
      <c r="P83" s="224">
        <v>0</v>
      </c>
      <c r="Q83" s="224">
        <f>1381000-1186204.38</f>
        <v>194795.62000000011</v>
      </c>
      <c r="R83" s="224">
        <f>Q83+N83</f>
        <v>13825795.620000001</v>
      </c>
      <c r="S83" s="225">
        <v>0</v>
      </c>
      <c r="T83" s="224">
        <v>220000</v>
      </c>
      <c r="U83" s="223">
        <v>0</v>
      </c>
      <c r="V83" s="224">
        <v>0</v>
      </c>
      <c r="W83" s="225">
        <v>0</v>
      </c>
      <c r="X83" s="224">
        <v>0</v>
      </c>
      <c r="Y83" s="223">
        <v>0</v>
      </c>
      <c r="Z83" s="224">
        <v>0</v>
      </c>
    </row>
    <row r="84" spans="1:26" ht="48.75" customHeight="1" x14ac:dyDescent="0.2">
      <c r="A84" s="188"/>
      <c r="B84" s="212" t="s">
        <v>419</v>
      </c>
      <c r="C84" s="103" t="s">
        <v>69</v>
      </c>
      <c r="D84" s="66" t="s">
        <v>133</v>
      </c>
      <c r="E84" s="66" t="s">
        <v>410</v>
      </c>
      <c r="F84" s="66" t="s">
        <v>137</v>
      </c>
      <c r="G84" s="72" t="s">
        <v>411</v>
      </c>
      <c r="H84" s="67" t="s">
        <v>137</v>
      </c>
      <c r="I84" s="372"/>
      <c r="J84" s="64" t="e">
        <f>J85+#REF!</f>
        <v>#REF!</v>
      </c>
      <c r="K84" s="65" t="e">
        <f>K85+#REF!</f>
        <v>#REF!</v>
      </c>
      <c r="L84" s="224">
        <f t="shared" ref="L84:Z84" si="32">L85</f>
        <v>0</v>
      </c>
      <c r="M84" s="224">
        <f t="shared" si="32"/>
        <v>0</v>
      </c>
      <c r="N84" s="224">
        <f t="shared" si="32"/>
        <v>8163265.3099999996</v>
      </c>
      <c r="O84" s="223">
        <f t="shared" si="32"/>
        <v>1120000</v>
      </c>
      <c r="P84" s="224">
        <f t="shared" si="32"/>
        <v>0</v>
      </c>
      <c r="Q84" s="224">
        <f t="shared" si="32"/>
        <v>0</v>
      </c>
      <c r="R84" s="224">
        <f t="shared" si="32"/>
        <v>8163265.3099999996</v>
      </c>
      <c r="S84" s="225">
        <f t="shared" si="32"/>
        <v>0</v>
      </c>
      <c r="T84" s="224">
        <f t="shared" si="32"/>
        <v>220000</v>
      </c>
      <c r="U84" s="223">
        <f t="shared" si="32"/>
        <v>0</v>
      </c>
      <c r="V84" s="224">
        <f t="shared" si="32"/>
        <v>0</v>
      </c>
      <c r="W84" s="225">
        <f t="shared" si="32"/>
        <v>0</v>
      </c>
      <c r="X84" s="224">
        <f t="shared" si="32"/>
        <v>0</v>
      </c>
      <c r="Y84" s="223">
        <f t="shared" si="32"/>
        <v>0</v>
      </c>
      <c r="Z84" s="224">
        <f t="shared" si="32"/>
        <v>0</v>
      </c>
    </row>
    <row r="85" spans="1:26" ht="28.5" customHeight="1" x14ac:dyDescent="0.2">
      <c r="A85" s="188"/>
      <c r="B85" s="34" t="s">
        <v>21</v>
      </c>
      <c r="C85" s="103" t="s">
        <v>69</v>
      </c>
      <c r="D85" s="66" t="s">
        <v>133</v>
      </c>
      <c r="E85" s="66" t="s">
        <v>410</v>
      </c>
      <c r="F85" s="66" t="s">
        <v>137</v>
      </c>
      <c r="G85" s="72" t="s">
        <v>411</v>
      </c>
      <c r="H85" s="67" t="s">
        <v>137</v>
      </c>
      <c r="I85" s="372" t="s">
        <v>149</v>
      </c>
      <c r="J85" s="64">
        <f t="shared" ref="J85:Z85" si="33">J86</f>
        <v>60000</v>
      </c>
      <c r="K85" s="65">
        <f t="shared" si="33"/>
        <v>0</v>
      </c>
      <c r="L85" s="224">
        <f t="shared" si="33"/>
        <v>0</v>
      </c>
      <c r="M85" s="224">
        <f t="shared" si="33"/>
        <v>0</v>
      </c>
      <c r="N85" s="224">
        <f t="shared" si="33"/>
        <v>8163265.3099999996</v>
      </c>
      <c r="O85" s="223">
        <f t="shared" si="33"/>
        <v>1120000</v>
      </c>
      <c r="P85" s="224">
        <f t="shared" si="33"/>
        <v>0</v>
      </c>
      <c r="Q85" s="224">
        <f t="shared" si="33"/>
        <v>0</v>
      </c>
      <c r="R85" s="224">
        <f t="shared" si="33"/>
        <v>8163265.3099999996</v>
      </c>
      <c r="S85" s="225">
        <f t="shared" si="33"/>
        <v>0</v>
      </c>
      <c r="T85" s="224">
        <f t="shared" si="33"/>
        <v>220000</v>
      </c>
      <c r="U85" s="223">
        <f t="shared" si="33"/>
        <v>0</v>
      </c>
      <c r="V85" s="224">
        <f t="shared" si="33"/>
        <v>0</v>
      </c>
      <c r="W85" s="225">
        <f t="shared" si="33"/>
        <v>0</v>
      </c>
      <c r="X85" s="224">
        <f t="shared" si="33"/>
        <v>0</v>
      </c>
      <c r="Y85" s="223">
        <f t="shared" si="33"/>
        <v>0</v>
      </c>
      <c r="Z85" s="224">
        <f t="shared" si="33"/>
        <v>0</v>
      </c>
    </row>
    <row r="86" spans="1:26" ht="15" customHeight="1" x14ac:dyDescent="0.2">
      <c r="A86" s="188"/>
      <c r="B86" s="34" t="s">
        <v>22</v>
      </c>
      <c r="C86" s="103" t="s">
        <v>69</v>
      </c>
      <c r="D86" s="66" t="s">
        <v>133</v>
      </c>
      <c r="E86" s="66" t="s">
        <v>410</v>
      </c>
      <c r="F86" s="66" t="s">
        <v>137</v>
      </c>
      <c r="G86" s="72" t="s">
        <v>411</v>
      </c>
      <c r="H86" s="67" t="s">
        <v>137</v>
      </c>
      <c r="I86" s="372" t="s">
        <v>23</v>
      </c>
      <c r="J86" s="64">
        <v>60000</v>
      </c>
      <c r="K86" s="65">
        <v>0</v>
      </c>
      <c r="L86" s="224">
        <v>0</v>
      </c>
      <c r="M86" s="224">
        <v>0</v>
      </c>
      <c r="N86" s="224">
        <v>8163265.3099999996</v>
      </c>
      <c r="O86" s="223">
        <v>1120000</v>
      </c>
      <c r="P86" s="224">
        <v>0</v>
      </c>
      <c r="Q86" s="224">
        <v>0</v>
      </c>
      <c r="R86" s="224">
        <f>N86</f>
        <v>8163265.3099999996</v>
      </c>
      <c r="S86" s="225">
        <v>0</v>
      </c>
      <c r="T86" s="224">
        <v>220000</v>
      </c>
      <c r="U86" s="223">
        <v>0</v>
      </c>
      <c r="V86" s="224">
        <v>0</v>
      </c>
      <c r="W86" s="225">
        <v>0</v>
      </c>
      <c r="X86" s="224">
        <v>0</v>
      </c>
      <c r="Y86" s="223">
        <v>0</v>
      </c>
      <c r="Z86" s="224">
        <v>0</v>
      </c>
    </row>
    <row r="87" spans="1:26" ht="6.75" customHeight="1" x14ac:dyDescent="0.2">
      <c r="A87" s="188"/>
      <c r="B87" s="231"/>
      <c r="C87" s="232"/>
      <c r="D87" s="233"/>
      <c r="E87" s="233"/>
      <c r="F87" s="233"/>
      <c r="G87" s="233"/>
      <c r="H87" s="234"/>
      <c r="I87" s="235"/>
      <c r="J87" s="236"/>
      <c r="K87" s="237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7"/>
      <c r="Z87" s="238"/>
    </row>
    <row r="88" spans="1:26" ht="72.75" customHeight="1" x14ac:dyDescent="0.2">
      <c r="A88" s="188"/>
      <c r="B88" s="466" t="s">
        <v>330</v>
      </c>
      <c r="C88" s="239" t="s">
        <v>76</v>
      </c>
      <c r="D88" s="240" t="s">
        <v>135</v>
      </c>
      <c r="E88" s="240" t="s">
        <v>135</v>
      </c>
      <c r="F88" s="240" t="s">
        <v>135</v>
      </c>
      <c r="G88" s="240" t="s">
        <v>136</v>
      </c>
      <c r="H88" s="241" t="s">
        <v>135</v>
      </c>
      <c r="I88" s="242"/>
      <c r="J88" s="243" t="e">
        <f>#REF!</f>
        <v>#REF!</v>
      </c>
      <c r="K88" s="244" t="e">
        <f>#REF!</f>
        <v>#REF!</v>
      </c>
      <c r="L88" s="245">
        <f>L98+L101+L104</f>
        <v>544000</v>
      </c>
      <c r="M88" s="245">
        <f>M98+M101+M104</f>
        <v>0</v>
      </c>
      <c r="N88" s="245">
        <f>N98+N101+N104+N107</f>
        <v>2325620</v>
      </c>
      <c r="O88" s="245">
        <f t="shared" ref="O88:Z88" si="34">O98+O101+O104+O107</f>
        <v>30187504.289999999</v>
      </c>
      <c r="P88" s="245">
        <f t="shared" si="34"/>
        <v>0</v>
      </c>
      <c r="Q88" s="245">
        <f t="shared" si="34"/>
        <v>-829620</v>
      </c>
      <c r="R88" s="245">
        <f t="shared" si="34"/>
        <v>1496000</v>
      </c>
      <c r="S88" s="245">
        <f t="shared" si="34"/>
        <v>19965504.289999999</v>
      </c>
      <c r="T88" s="245">
        <f t="shared" si="34"/>
        <v>13283207.189999999</v>
      </c>
      <c r="U88" s="245">
        <f t="shared" si="34"/>
        <v>0</v>
      </c>
      <c r="V88" s="245">
        <f t="shared" si="34"/>
        <v>0</v>
      </c>
      <c r="W88" s="245">
        <f t="shared" si="34"/>
        <v>19965504.289999999</v>
      </c>
      <c r="X88" s="245">
        <f t="shared" si="34"/>
        <v>8019207.1899999995</v>
      </c>
      <c r="Y88" s="244">
        <f t="shared" si="34"/>
        <v>0</v>
      </c>
      <c r="Z88" s="245">
        <f t="shared" si="34"/>
        <v>8019207.1899999995</v>
      </c>
    </row>
    <row r="89" spans="1:26" ht="39.75" hidden="1" customHeight="1" x14ac:dyDescent="0.2">
      <c r="A89" s="188"/>
      <c r="B89" s="207" t="s">
        <v>47</v>
      </c>
      <c r="C89" s="117" t="s">
        <v>76</v>
      </c>
      <c r="D89" s="72" t="s">
        <v>135</v>
      </c>
      <c r="E89" s="66" t="s">
        <v>135</v>
      </c>
      <c r="F89" s="66" t="s">
        <v>135</v>
      </c>
      <c r="G89" s="72" t="s">
        <v>16</v>
      </c>
      <c r="H89" s="67" t="s">
        <v>135</v>
      </c>
      <c r="I89" s="214"/>
      <c r="J89" s="220" t="e">
        <f t="shared" ref="J89:Y90" si="35">J90</f>
        <v>#REF!</v>
      </c>
      <c r="K89" s="46" t="e">
        <f t="shared" si="35"/>
        <v>#REF!</v>
      </c>
      <c r="L89" s="46" t="e">
        <f t="shared" si="35"/>
        <v>#REF!</v>
      </c>
      <c r="M89" s="46" t="e">
        <f t="shared" si="35"/>
        <v>#REF!</v>
      </c>
      <c r="N89" s="46" t="e">
        <f t="shared" si="35"/>
        <v>#REF!</v>
      </c>
      <c r="O89" s="221" t="e">
        <f t="shared" si="35"/>
        <v>#REF!</v>
      </c>
      <c r="P89" s="221" t="e">
        <f t="shared" si="35"/>
        <v>#REF!</v>
      </c>
      <c r="Q89" s="46" t="e">
        <f t="shared" si="35"/>
        <v>#REF!</v>
      </c>
      <c r="R89" s="46" t="e">
        <f t="shared" si="35"/>
        <v>#REF!</v>
      </c>
      <c r="S89" s="221" t="e">
        <f t="shared" si="35"/>
        <v>#REF!</v>
      </c>
      <c r="T89" s="221" t="e">
        <f t="shared" si="35"/>
        <v>#REF!</v>
      </c>
      <c r="U89" s="221" t="e">
        <f t="shared" si="35"/>
        <v>#REF!</v>
      </c>
      <c r="V89" s="221" t="e">
        <f t="shared" si="35"/>
        <v>#REF!</v>
      </c>
      <c r="W89" s="221" t="e">
        <f t="shared" si="35"/>
        <v>#REF!</v>
      </c>
      <c r="X89" s="221" t="e">
        <f t="shared" si="35"/>
        <v>#REF!</v>
      </c>
      <c r="Y89" s="46" t="e">
        <f t="shared" si="35"/>
        <v>#REF!</v>
      </c>
      <c r="Z89" s="221" t="e">
        <f>Z90</f>
        <v>#REF!</v>
      </c>
    </row>
    <row r="90" spans="1:26" ht="40.5" hidden="1" customHeight="1" x14ac:dyDescent="0.2">
      <c r="A90" s="188"/>
      <c r="B90" s="212" t="s">
        <v>52</v>
      </c>
      <c r="C90" s="117" t="s">
        <v>76</v>
      </c>
      <c r="D90" s="72" t="s">
        <v>135</v>
      </c>
      <c r="E90" s="66" t="s">
        <v>135</v>
      </c>
      <c r="F90" s="66" t="s">
        <v>135</v>
      </c>
      <c r="G90" s="72" t="s">
        <v>16</v>
      </c>
      <c r="H90" s="67" t="s">
        <v>135</v>
      </c>
      <c r="I90" s="214">
        <v>200</v>
      </c>
      <c r="J90" s="220" t="e">
        <f t="shared" si="35"/>
        <v>#REF!</v>
      </c>
      <c r="K90" s="46" t="e">
        <f t="shared" si="35"/>
        <v>#REF!</v>
      </c>
      <c r="L90" s="46" t="e">
        <f t="shared" si="35"/>
        <v>#REF!</v>
      </c>
      <c r="M90" s="46" t="e">
        <f t="shared" si="35"/>
        <v>#REF!</v>
      </c>
      <c r="N90" s="46" t="e">
        <f t="shared" si="35"/>
        <v>#REF!</v>
      </c>
      <c r="O90" s="221" t="e">
        <f t="shared" si="35"/>
        <v>#REF!</v>
      </c>
      <c r="P90" s="221" t="e">
        <f t="shared" si="35"/>
        <v>#REF!</v>
      </c>
      <c r="Q90" s="46" t="e">
        <f t="shared" si="35"/>
        <v>#REF!</v>
      </c>
      <c r="R90" s="46" t="e">
        <f t="shared" si="35"/>
        <v>#REF!</v>
      </c>
      <c r="S90" s="221" t="e">
        <f t="shared" si="35"/>
        <v>#REF!</v>
      </c>
      <c r="T90" s="221" t="e">
        <f t="shared" si="35"/>
        <v>#REF!</v>
      </c>
      <c r="U90" s="221" t="e">
        <f t="shared" si="35"/>
        <v>#REF!</v>
      </c>
      <c r="V90" s="221" t="e">
        <f t="shared" si="35"/>
        <v>#REF!</v>
      </c>
      <c r="W90" s="221" t="e">
        <f t="shared" si="35"/>
        <v>#REF!</v>
      </c>
      <c r="X90" s="221" t="e">
        <f t="shared" si="35"/>
        <v>#REF!</v>
      </c>
      <c r="Y90" s="46" t="e">
        <f>Y91</f>
        <v>#REF!</v>
      </c>
      <c r="Z90" s="221" t="e">
        <f>Z91</f>
        <v>#REF!</v>
      </c>
    </row>
    <row r="91" spans="1:26" ht="26.25" hidden="1" customHeight="1" x14ac:dyDescent="0.2">
      <c r="A91" s="188"/>
      <c r="B91" s="212" t="s">
        <v>54</v>
      </c>
      <c r="C91" s="117" t="s">
        <v>76</v>
      </c>
      <c r="D91" s="72" t="s">
        <v>135</v>
      </c>
      <c r="E91" s="66" t="s">
        <v>135</v>
      </c>
      <c r="F91" s="66" t="s">
        <v>135</v>
      </c>
      <c r="G91" s="72" t="s">
        <v>16</v>
      </c>
      <c r="H91" s="67" t="s">
        <v>135</v>
      </c>
      <c r="I91" s="214">
        <v>240</v>
      </c>
      <c r="J91" s="220" t="e">
        <f>#REF!+#REF!</f>
        <v>#REF!</v>
      </c>
      <c r="K91" s="46" t="e">
        <f>#REF!+#REF!</f>
        <v>#REF!</v>
      </c>
      <c r="L91" s="46" t="e">
        <f>#REF!+#REF!</f>
        <v>#REF!</v>
      </c>
      <c r="M91" s="46" t="e">
        <f>#REF!+#REF!</f>
        <v>#REF!</v>
      </c>
      <c r="N91" s="46" t="e">
        <f>#REF!+#REF!</f>
        <v>#REF!</v>
      </c>
      <c r="O91" s="221" t="e">
        <f>#REF!+#REF!</f>
        <v>#REF!</v>
      </c>
      <c r="P91" s="221" t="e">
        <f>#REF!+#REF!</f>
        <v>#REF!</v>
      </c>
      <c r="Q91" s="46" t="e">
        <f>#REF!+#REF!</f>
        <v>#REF!</v>
      </c>
      <c r="R91" s="46" t="e">
        <f>#REF!+#REF!</f>
        <v>#REF!</v>
      </c>
      <c r="S91" s="221" t="e">
        <f>#REF!+#REF!</f>
        <v>#REF!</v>
      </c>
      <c r="T91" s="221" t="e">
        <f>#REF!+#REF!</f>
        <v>#REF!</v>
      </c>
      <c r="U91" s="221" t="e">
        <f>#REF!+#REF!</f>
        <v>#REF!</v>
      </c>
      <c r="V91" s="221" t="e">
        <f>#REF!+#REF!</f>
        <v>#REF!</v>
      </c>
      <c r="W91" s="221" t="e">
        <f>#REF!+#REF!</f>
        <v>#REF!</v>
      </c>
      <c r="X91" s="221" t="e">
        <f>#REF!+#REF!</f>
        <v>#REF!</v>
      </c>
      <c r="Y91" s="46" t="e">
        <f>#REF!+#REF!</f>
        <v>#REF!</v>
      </c>
      <c r="Z91" s="221" t="e">
        <f>#REF!+#REF!</f>
        <v>#REF!</v>
      </c>
    </row>
    <row r="92" spans="1:26" ht="26.25" hidden="1" customHeight="1" x14ac:dyDescent="0.2">
      <c r="A92" s="188"/>
      <c r="B92" s="207" t="s">
        <v>185</v>
      </c>
      <c r="C92" s="105" t="s">
        <v>76</v>
      </c>
      <c r="D92" s="70" t="s">
        <v>135</v>
      </c>
      <c r="E92" s="66" t="s">
        <v>135</v>
      </c>
      <c r="F92" s="66" t="s">
        <v>135</v>
      </c>
      <c r="G92" s="71" t="s">
        <v>186</v>
      </c>
      <c r="H92" s="76" t="s">
        <v>135</v>
      </c>
      <c r="I92" s="246"/>
      <c r="J92" s="220" t="e">
        <f t="shared" ref="J92:Y93" si="36">J93</f>
        <v>#REF!</v>
      </c>
      <c r="K92" s="46" t="e">
        <f t="shared" si="36"/>
        <v>#REF!</v>
      </c>
      <c r="L92" s="46" t="e">
        <f t="shared" si="36"/>
        <v>#REF!</v>
      </c>
      <c r="M92" s="46" t="e">
        <f t="shared" si="36"/>
        <v>#REF!</v>
      </c>
      <c r="N92" s="46" t="e">
        <f t="shared" si="36"/>
        <v>#REF!</v>
      </c>
      <c r="O92" s="221" t="e">
        <f t="shared" si="36"/>
        <v>#REF!</v>
      </c>
      <c r="P92" s="221" t="e">
        <f t="shared" si="36"/>
        <v>#REF!</v>
      </c>
      <c r="Q92" s="46" t="e">
        <f t="shared" si="36"/>
        <v>#REF!</v>
      </c>
      <c r="R92" s="46" t="e">
        <f t="shared" si="36"/>
        <v>#REF!</v>
      </c>
      <c r="S92" s="221" t="e">
        <f t="shared" si="36"/>
        <v>#REF!</v>
      </c>
      <c r="T92" s="221" t="e">
        <f t="shared" si="36"/>
        <v>#REF!</v>
      </c>
      <c r="U92" s="221" t="e">
        <f t="shared" si="36"/>
        <v>#REF!</v>
      </c>
      <c r="V92" s="221" t="e">
        <f t="shared" si="36"/>
        <v>#REF!</v>
      </c>
      <c r="W92" s="221" t="e">
        <f t="shared" si="36"/>
        <v>#REF!</v>
      </c>
      <c r="X92" s="221" t="e">
        <f t="shared" si="36"/>
        <v>#REF!</v>
      </c>
      <c r="Y92" s="46" t="e">
        <f t="shared" si="36"/>
        <v>#REF!</v>
      </c>
      <c r="Z92" s="221" t="e">
        <f>Z93</f>
        <v>#REF!</v>
      </c>
    </row>
    <row r="93" spans="1:26" ht="26.25" hidden="1" customHeight="1" x14ac:dyDescent="0.2">
      <c r="A93" s="188"/>
      <c r="B93" s="212" t="s">
        <v>52</v>
      </c>
      <c r="C93" s="105" t="s">
        <v>76</v>
      </c>
      <c r="D93" s="70" t="s">
        <v>135</v>
      </c>
      <c r="E93" s="66" t="s">
        <v>135</v>
      </c>
      <c r="F93" s="66" t="s">
        <v>135</v>
      </c>
      <c r="G93" s="71" t="s">
        <v>186</v>
      </c>
      <c r="H93" s="76" t="s">
        <v>135</v>
      </c>
      <c r="I93" s="246" t="s">
        <v>53</v>
      </c>
      <c r="J93" s="220" t="e">
        <f t="shared" si="36"/>
        <v>#REF!</v>
      </c>
      <c r="K93" s="46" t="e">
        <f t="shared" si="36"/>
        <v>#REF!</v>
      </c>
      <c r="L93" s="46" t="e">
        <f t="shared" si="36"/>
        <v>#REF!</v>
      </c>
      <c r="M93" s="46" t="e">
        <f t="shared" si="36"/>
        <v>#REF!</v>
      </c>
      <c r="N93" s="46" t="e">
        <f t="shared" si="36"/>
        <v>#REF!</v>
      </c>
      <c r="O93" s="221" t="e">
        <f t="shared" si="36"/>
        <v>#REF!</v>
      </c>
      <c r="P93" s="221" t="e">
        <f t="shared" si="36"/>
        <v>#REF!</v>
      </c>
      <c r="Q93" s="46" t="e">
        <f t="shared" si="36"/>
        <v>#REF!</v>
      </c>
      <c r="R93" s="46" t="e">
        <f t="shared" si="36"/>
        <v>#REF!</v>
      </c>
      <c r="S93" s="221" t="e">
        <f t="shared" si="36"/>
        <v>#REF!</v>
      </c>
      <c r="T93" s="221" t="e">
        <f t="shared" si="36"/>
        <v>#REF!</v>
      </c>
      <c r="U93" s="221" t="e">
        <f t="shared" si="36"/>
        <v>#REF!</v>
      </c>
      <c r="V93" s="221" t="e">
        <f t="shared" si="36"/>
        <v>#REF!</v>
      </c>
      <c r="W93" s="221" t="e">
        <f t="shared" si="36"/>
        <v>#REF!</v>
      </c>
      <c r="X93" s="221" t="e">
        <f t="shared" si="36"/>
        <v>#REF!</v>
      </c>
      <c r="Y93" s="46" t="e">
        <f>Y94</f>
        <v>#REF!</v>
      </c>
      <c r="Z93" s="221" t="e">
        <f>Z94</f>
        <v>#REF!</v>
      </c>
    </row>
    <row r="94" spans="1:26" ht="26.25" hidden="1" customHeight="1" x14ac:dyDescent="0.2">
      <c r="A94" s="188"/>
      <c r="B94" s="212" t="s">
        <v>54</v>
      </c>
      <c r="C94" s="105" t="s">
        <v>76</v>
      </c>
      <c r="D94" s="70" t="s">
        <v>135</v>
      </c>
      <c r="E94" s="66" t="s">
        <v>135</v>
      </c>
      <c r="F94" s="66" t="s">
        <v>135</v>
      </c>
      <c r="G94" s="71" t="s">
        <v>186</v>
      </c>
      <c r="H94" s="76" t="s">
        <v>135</v>
      </c>
      <c r="I94" s="246" t="s">
        <v>55</v>
      </c>
      <c r="J94" s="220" t="e">
        <f>#REF!+#REF!</f>
        <v>#REF!</v>
      </c>
      <c r="K94" s="46" t="e">
        <f>#REF!+#REF!</f>
        <v>#REF!</v>
      </c>
      <c r="L94" s="46" t="e">
        <f>#REF!+#REF!</f>
        <v>#REF!</v>
      </c>
      <c r="M94" s="46" t="e">
        <f>#REF!+#REF!</f>
        <v>#REF!</v>
      </c>
      <c r="N94" s="46" t="e">
        <f>#REF!+#REF!</f>
        <v>#REF!</v>
      </c>
      <c r="O94" s="221" t="e">
        <f>#REF!+#REF!</f>
        <v>#REF!</v>
      </c>
      <c r="P94" s="221" t="e">
        <f>#REF!+#REF!</f>
        <v>#REF!</v>
      </c>
      <c r="Q94" s="46" t="e">
        <f>#REF!+#REF!</f>
        <v>#REF!</v>
      </c>
      <c r="R94" s="46" t="e">
        <f>#REF!+#REF!</f>
        <v>#REF!</v>
      </c>
      <c r="S94" s="221" t="e">
        <f>#REF!+#REF!</f>
        <v>#REF!</v>
      </c>
      <c r="T94" s="221" t="e">
        <f>#REF!+#REF!</f>
        <v>#REF!</v>
      </c>
      <c r="U94" s="221" t="e">
        <f>#REF!+#REF!</f>
        <v>#REF!</v>
      </c>
      <c r="V94" s="221" t="e">
        <f>#REF!+#REF!</f>
        <v>#REF!</v>
      </c>
      <c r="W94" s="221" t="e">
        <f>#REF!+#REF!</f>
        <v>#REF!</v>
      </c>
      <c r="X94" s="221" t="e">
        <f>#REF!+#REF!</f>
        <v>#REF!</v>
      </c>
      <c r="Y94" s="46" t="e">
        <f>#REF!+#REF!</f>
        <v>#REF!</v>
      </c>
      <c r="Z94" s="221" t="e">
        <f>#REF!+#REF!</f>
        <v>#REF!</v>
      </c>
    </row>
    <row r="95" spans="1:26" ht="31.5" hidden="1" customHeight="1" x14ac:dyDescent="0.2">
      <c r="A95" s="188"/>
      <c r="B95" s="247" t="s">
        <v>166</v>
      </c>
      <c r="C95" s="105" t="s">
        <v>76</v>
      </c>
      <c r="D95" s="70" t="s">
        <v>135</v>
      </c>
      <c r="E95" s="66" t="s">
        <v>135</v>
      </c>
      <c r="F95" s="66" t="s">
        <v>135</v>
      </c>
      <c r="G95" s="71" t="s">
        <v>165</v>
      </c>
      <c r="H95" s="67" t="s">
        <v>135</v>
      </c>
      <c r="I95" s="246"/>
      <c r="J95" s="220" t="e">
        <f t="shared" ref="J95:Y96" si="37">J96</f>
        <v>#REF!</v>
      </c>
      <c r="K95" s="46" t="e">
        <f t="shared" si="37"/>
        <v>#REF!</v>
      </c>
      <c r="L95" s="46" t="e">
        <f t="shared" si="37"/>
        <v>#REF!</v>
      </c>
      <c r="M95" s="46" t="e">
        <f t="shared" si="37"/>
        <v>#REF!</v>
      </c>
      <c r="N95" s="46" t="e">
        <f t="shared" si="37"/>
        <v>#REF!</v>
      </c>
      <c r="O95" s="221" t="e">
        <f t="shared" si="37"/>
        <v>#REF!</v>
      </c>
      <c r="P95" s="221" t="e">
        <f t="shared" si="37"/>
        <v>#REF!</v>
      </c>
      <c r="Q95" s="46" t="e">
        <f t="shared" si="37"/>
        <v>#REF!</v>
      </c>
      <c r="R95" s="46" t="e">
        <f t="shared" si="37"/>
        <v>#REF!</v>
      </c>
      <c r="S95" s="221" t="e">
        <f t="shared" si="37"/>
        <v>#REF!</v>
      </c>
      <c r="T95" s="221" t="e">
        <f t="shared" si="37"/>
        <v>#REF!</v>
      </c>
      <c r="U95" s="221" t="e">
        <f t="shared" si="37"/>
        <v>#REF!</v>
      </c>
      <c r="V95" s="221" t="e">
        <f t="shared" si="37"/>
        <v>#REF!</v>
      </c>
      <c r="W95" s="221" t="e">
        <f t="shared" si="37"/>
        <v>#REF!</v>
      </c>
      <c r="X95" s="221" t="e">
        <f t="shared" si="37"/>
        <v>#REF!</v>
      </c>
      <c r="Y95" s="46" t="e">
        <f t="shared" si="37"/>
        <v>#REF!</v>
      </c>
      <c r="Z95" s="221" t="e">
        <f>Z96</f>
        <v>#REF!</v>
      </c>
    </row>
    <row r="96" spans="1:26" ht="30" hidden="1" customHeight="1" x14ac:dyDescent="0.2">
      <c r="A96" s="188"/>
      <c r="B96" s="212" t="s">
        <v>52</v>
      </c>
      <c r="C96" s="105" t="s">
        <v>76</v>
      </c>
      <c r="D96" s="70" t="s">
        <v>135</v>
      </c>
      <c r="E96" s="66" t="s">
        <v>135</v>
      </c>
      <c r="F96" s="66" t="s">
        <v>135</v>
      </c>
      <c r="G96" s="71" t="s">
        <v>165</v>
      </c>
      <c r="H96" s="76" t="s">
        <v>135</v>
      </c>
      <c r="I96" s="246" t="s">
        <v>53</v>
      </c>
      <c r="J96" s="220" t="e">
        <f t="shared" si="37"/>
        <v>#REF!</v>
      </c>
      <c r="K96" s="46" t="e">
        <f t="shared" si="37"/>
        <v>#REF!</v>
      </c>
      <c r="L96" s="46" t="e">
        <f t="shared" si="37"/>
        <v>#REF!</v>
      </c>
      <c r="M96" s="46" t="e">
        <f t="shared" si="37"/>
        <v>#REF!</v>
      </c>
      <c r="N96" s="46" t="e">
        <f t="shared" si="37"/>
        <v>#REF!</v>
      </c>
      <c r="O96" s="221" t="e">
        <f t="shared" si="37"/>
        <v>#REF!</v>
      </c>
      <c r="P96" s="221" t="e">
        <f t="shared" si="37"/>
        <v>#REF!</v>
      </c>
      <c r="Q96" s="46" t="e">
        <f t="shared" si="37"/>
        <v>#REF!</v>
      </c>
      <c r="R96" s="46" t="e">
        <f t="shared" si="37"/>
        <v>#REF!</v>
      </c>
      <c r="S96" s="221" t="e">
        <f t="shared" si="37"/>
        <v>#REF!</v>
      </c>
      <c r="T96" s="221" t="e">
        <f t="shared" si="37"/>
        <v>#REF!</v>
      </c>
      <c r="U96" s="221" t="e">
        <f t="shared" si="37"/>
        <v>#REF!</v>
      </c>
      <c r="V96" s="221" t="e">
        <f t="shared" si="37"/>
        <v>#REF!</v>
      </c>
      <c r="W96" s="221" t="e">
        <f t="shared" si="37"/>
        <v>#REF!</v>
      </c>
      <c r="X96" s="221" t="e">
        <f t="shared" si="37"/>
        <v>#REF!</v>
      </c>
      <c r="Y96" s="46" t="e">
        <f>Y97</f>
        <v>#REF!</v>
      </c>
      <c r="Z96" s="221" t="e">
        <f>Z97</f>
        <v>#REF!</v>
      </c>
    </row>
    <row r="97" spans="1:26" ht="30.75" hidden="1" customHeight="1" x14ac:dyDescent="0.2">
      <c r="A97" s="188"/>
      <c r="B97" s="212" t="s">
        <v>54</v>
      </c>
      <c r="C97" s="105" t="s">
        <v>76</v>
      </c>
      <c r="D97" s="70" t="s">
        <v>135</v>
      </c>
      <c r="E97" s="66" t="s">
        <v>135</v>
      </c>
      <c r="F97" s="66" t="s">
        <v>135</v>
      </c>
      <c r="G97" s="71" t="s">
        <v>165</v>
      </c>
      <c r="H97" s="76" t="s">
        <v>135</v>
      </c>
      <c r="I97" s="246" t="s">
        <v>55</v>
      </c>
      <c r="J97" s="220" t="e">
        <f>#REF!+#REF!</f>
        <v>#REF!</v>
      </c>
      <c r="K97" s="46" t="e">
        <f>#REF!+#REF!</f>
        <v>#REF!</v>
      </c>
      <c r="L97" s="46" t="e">
        <f>#REF!+#REF!</f>
        <v>#REF!</v>
      </c>
      <c r="M97" s="46" t="e">
        <f>#REF!+#REF!</f>
        <v>#REF!</v>
      </c>
      <c r="N97" s="46" t="e">
        <f>#REF!+#REF!</f>
        <v>#REF!</v>
      </c>
      <c r="O97" s="221" t="e">
        <f>#REF!+#REF!</f>
        <v>#REF!</v>
      </c>
      <c r="P97" s="221" t="e">
        <f>#REF!+#REF!</f>
        <v>#REF!</v>
      </c>
      <c r="Q97" s="46" t="e">
        <f>#REF!+#REF!</f>
        <v>#REF!</v>
      </c>
      <c r="R97" s="46" t="e">
        <f>#REF!+#REF!</f>
        <v>#REF!</v>
      </c>
      <c r="S97" s="221" t="e">
        <f>#REF!+#REF!</f>
        <v>#REF!</v>
      </c>
      <c r="T97" s="221" t="e">
        <f>#REF!+#REF!</f>
        <v>#REF!</v>
      </c>
      <c r="U97" s="221" t="e">
        <f>#REF!+#REF!</f>
        <v>#REF!</v>
      </c>
      <c r="V97" s="221" t="e">
        <f>#REF!+#REF!</f>
        <v>#REF!</v>
      </c>
      <c r="W97" s="221" t="e">
        <f>#REF!+#REF!</f>
        <v>#REF!</v>
      </c>
      <c r="X97" s="221" t="e">
        <f>#REF!+#REF!</f>
        <v>#REF!</v>
      </c>
      <c r="Y97" s="46" t="e">
        <f>#REF!+#REF!</f>
        <v>#REF!</v>
      </c>
      <c r="Z97" s="221" t="e">
        <f>#REF!+#REF!</f>
        <v>#REF!</v>
      </c>
    </row>
    <row r="98" spans="1:26" ht="33" customHeight="1" x14ac:dyDescent="0.2">
      <c r="A98" s="188"/>
      <c r="B98" s="207" t="s">
        <v>47</v>
      </c>
      <c r="C98" s="117" t="s">
        <v>76</v>
      </c>
      <c r="D98" s="72" t="s">
        <v>135</v>
      </c>
      <c r="E98" s="66" t="s">
        <v>135</v>
      </c>
      <c r="F98" s="66" t="s">
        <v>135</v>
      </c>
      <c r="G98" s="72" t="s">
        <v>16</v>
      </c>
      <c r="H98" s="67" t="s">
        <v>135</v>
      </c>
      <c r="I98" s="214"/>
      <c r="J98" s="220">
        <f t="shared" ref="J98:Y99" si="38">J99</f>
        <v>600000</v>
      </c>
      <c r="K98" s="46">
        <f t="shared" si="38"/>
        <v>0</v>
      </c>
      <c r="L98" s="46">
        <f t="shared" si="38"/>
        <v>544000</v>
      </c>
      <c r="M98" s="46">
        <f t="shared" si="38"/>
        <v>0</v>
      </c>
      <c r="N98" s="46">
        <f t="shared" si="38"/>
        <v>544000</v>
      </c>
      <c r="O98" s="221">
        <f t="shared" si="38"/>
        <v>600000</v>
      </c>
      <c r="P98" s="221">
        <f t="shared" si="38"/>
        <v>0</v>
      </c>
      <c r="Q98" s="46">
        <f t="shared" si="38"/>
        <v>0</v>
      </c>
      <c r="R98" s="46">
        <f t="shared" si="38"/>
        <v>544000</v>
      </c>
      <c r="S98" s="221">
        <f t="shared" si="38"/>
        <v>600000</v>
      </c>
      <c r="T98" s="221">
        <f t="shared" si="38"/>
        <v>600000</v>
      </c>
      <c r="U98" s="221">
        <f t="shared" si="38"/>
        <v>0</v>
      </c>
      <c r="V98" s="221">
        <f t="shared" si="38"/>
        <v>0</v>
      </c>
      <c r="W98" s="221">
        <f t="shared" si="38"/>
        <v>600000</v>
      </c>
      <c r="X98" s="221">
        <f t="shared" si="38"/>
        <v>600000</v>
      </c>
      <c r="Y98" s="46">
        <f t="shared" si="38"/>
        <v>0</v>
      </c>
      <c r="Z98" s="221">
        <f>Z99</f>
        <v>600000</v>
      </c>
    </row>
    <row r="99" spans="1:26" ht="34.5" customHeight="1" x14ac:dyDescent="0.2">
      <c r="A99" s="188"/>
      <c r="B99" s="212" t="s">
        <v>52</v>
      </c>
      <c r="C99" s="117" t="s">
        <v>76</v>
      </c>
      <c r="D99" s="72" t="s">
        <v>135</v>
      </c>
      <c r="E99" s="66" t="s">
        <v>135</v>
      </c>
      <c r="F99" s="66" t="s">
        <v>135</v>
      </c>
      <c r="G99" s="72" t="s">
        <v>16</v>
      </c>
      <c r="H99" s="67" t="s">
        <v>135</v>
      </c>
      <c r="I99" s="214">
        <v>200</v>
      </c>
      <c r="J99" s="220">
        <f t="shared" si="38"/>
        <v>600000</v>
      </c>
      <c r="K99" s="46">
        <f t="shared" si="38"/>
        <v>0</v>
      </c>
      <c r="L99" s="46">
        <f t="shared" si="38"/>
        <v>544000</v>
      </c>
      <c r="M99" s="46">
        <f t="shared" si="38"/>
        <v>0</v>
      </c>
      <c r="N99" s="46">
        <f t="shared" si="38"/>
        <v>544000</v>
      </c>
      <c r="O99" s="221">
        <f t="shared" si="38"/>
        <v>600000</v>
      </c>
      <c r="P99" s="221">
        <f t="shared" si="38"/>
        <v>0</v>
      </c>
      <c r="Q99" s="46">
        <f t="shared" si="38"/>
        <v>0</v>
      </c>
      <c r="R99" s="46">
        <f t="shared" si="38"/>
        <v>544000</v>
      </c>
      <c r="S99" s="221">
        <f t="shared" si="38"/>
        <v>600000</v>
      </c>
      <c r="T99" s="221">
        <f t="shared" si="38"/>
        <v>600000</v>
      </c>
      <c r="U99" s="221">
        <f t="shared" si="38"/>
        <v>0</v>
      </c>
      <c r="V99" s="221">
        <f t="shared" si="38"/>
        <v>0</v>
      </c>
      <c r="W99" s="221">
        <f t="shared" si="38"/>
        <v>600000</v>
      </c>
      <c r="X99" s="221">
        <f t="shared" si="38"/>
        <v>600000</v>
      </c>
      <c r="Y99" s="46">
        <f>Y100</f>
        <v>0</v>
      </c>
      <c r="Z99" s="221">
        <f>Z100</f>
        <v>600000</v>
      </c>
    </row>
    <row r="100" spans="1:26" ht="33" customHeight="1" x14ac:dyDescent="0.2">
      <c r="A100" s="188"/>
      <c r="B100" s="212" t="s">
        <v>54</v>
      </c>
      <c r="C100" s="117" t="s">
        <v>76</v>
      </c>
      <c r="D100" s="72" t="s">
        <v>135</v>
      </c>
      <c r="E100" s="66" t="s">
        <v>135</v>
      </c>
      <c r="F100" s="66" t="s">
        <v>135</v>
      </c>
      <c r="G100" s="72" t="s">
        <v>16</v>
      </c>
      <c r="H100" s="67" t="s">
        <v>135</v>
      </c>
      <c r="I100" s="214">
        <v>240</v>
      </c>
      <c r="J100" s="220">
        <v>600000</v>
      </c>
      <c r="K100" s="46">
        <v>0</v>
      </c>
      <c r="L100" s="216">
        <v>544000</v>
      </c>
      <c r="M100" s="216">
        <v>0</v>
      </c>
      <c r="N100" s="216">
        <v>544000</v>
      </c>
      <c r="O100" s="216">
        <v>600000</v>
      </c>
      <c r="P100" s="216">
        <v>0</v>
      </c>
      <c r="Q100" s="216">
        <v>0</v>
      </c>
      <c r="R100" s="216">
        <v>544000</v>
      </c>
      <c r="S100" s="216">
        <v>600000</v>
      </c>
      <c r="T100" s="216">
        <v>600000</v>
      </c>
      <c r="U100" s="216">
        <v>0</v>
      </c>
      <c r="V100" s="216">
        <v>0</v>
      </c>
      <c r="W100" s="216">
        <v>600000</v>
      </c>
      <c r="X100" s="216">
        <v>600000</v>
      </c>
      <c r="Y100" s="215">
        <v>0</v>
      </c>
      <c r="Z100" s="216">
        <v>600000</v>
      </c>
    </row>
    <row r="101" spans="1:26" ht="17.25" customHeight="1" x14ac:dyDescent="0.2">
      <c r="A101" s="188"/>
      <c r="B101" s="207" t="s">
        <v>185</v>
      </c>
      <c r="C101" s="105" t="s">
        <v>76</v>
      </c>
      <c r="D101" s="70" t="s">
        <v>135</v>
      </c>
      <c r="E101" s="66" t="s">
        <v>135</v>
      </c>
      <c r="F101" s="66" t="s">
        <v>135</v>
      </c>
      <c r="G101" s="71" t="s">
        <v>186</v>
      </c>
      <c r="H101" s="76" t="s">
        <v>135</v>
      </c>
      <c r="I101" s="246"/>
      <c r="J101" s="220">
        <f t="shared" ref="J101:Y102" si="39">J102</f>
        <v>539248.80000000005</v>
      </c>
      <c r="K101" s="46">
        <f t="shared" si="39"/>
        <v>2614224.19</v>
      </c>
      <c r="L101" s="46">
        <f t="shared" si="39"/>
        <v>0</v>
      </c>
      <c r="M101" s="46">
        <f t="shared" si="39"/>
        <v>0</v>
      </c>
      <c r="N101" s="46">
        <f t="shared" si="39"/>
        <v>0</v>
      </c>
      <c r="O101" s="221">
        <f t="shared" si="39"/>
        <v>9143504.2899999991</v>
      </c>
      <c r="P101" s="221">
        <f t="shared" si="39"/>
        <v>0</v>
      </c>
      <c r="Q101" s="46">
        <f t="shared" si="39"/>
        <v>0</v>
      </c>
      <c r="R101" s="46">
        <f t="shared" si="39"/>
        <v>0</v>
      </c>
      <c r="S101" s="221">
        <f t="shared" si="39"/>
        <v>9143504.2899999991</v>
      </c>
      <c r="T101" s="221">
        <f t="shared" si="39"/>
        <v>2155207.19</v>
      </c>
      <c r="U101" s="221">
        <f t="shared" si="39"/>
        <v>0</v>
      </c>
      <c r="V101" s="221">
        <f t="shared" si="39"/>
        <v>0</v>
      </c>
      <c r="W101" s="221">
        <f t="shared" si="39"/>
        <v>9143504.2899999991</v>
      </c>
      <c r="X101" s="221">
        <f t="shared" si="39"/>
        <v>2155207.19</v>
      </c>
      <c r="Y101" s="46">
        <f t="shared" si="39"/>
        <v>0</v>
      </c>
      <c r="Z101" s="221">
        <f>Z102</f>
        <v>2155207.19</v>
      </c>
    </row>
    <row r="102" spans="1:26" ht="30.75" customHeight="1" x14ac:dyDescent="0.2">
      <c r="A102" s="188"/>
      <c r="B102" s="212" t="s">
        <v>52</v>
      </c>
      <c r="C102" s="105" t="s">
        <v>76</v>
      </c>
      <c r="D102" s="70" t="s">
        <v>135</v>
      </c>
      <c r="E102" s="66" t="s">
        <v>135</v>
      </c>
      <c r="F102" s="66" t="s">
        <v>135</v>
      </c>
      <c r="G102" s="71" t="s">
        <v>186</v>
      </c>
      <c r="H102" s="76" t="s">
        <v>135</v>
      </c>
      <c r="I102" s="246" t="s">
        <v>53</v>
      </c>
      <c r="J102" s="220">
        <f t="shared" si="39"/>
        <v>539248.80000000005</v>
      </c>
      <c r="K102" s="46">
        <f t="shared" si="39"/>
        <v>2614224.19</v>
      </c>
      <c r="L102" s="46">
        <f t="shared" si="39"/>
        <v>0</v>
      </c>
      <c r="M102" s="46">
        <f t="shared" si="39"/>
        <v>0</v>
      </c>
      <c r="N102" s="46">
        <f t="shared" si="39"/>
        <v>0</v>
      </c>
      <c r="O102" s="221">
        <f t="shared" si="39"/>
        <v>9143504.2899999991</v>
      </c>
      <c r="P102" s="221">
        <f t="shared" si="39"/>
        <v>0</v>
      </c>
      <c r="Q102" s="46">
        <f t="shared" si="39"/>
        <v>0</v>
      </c>
      <c r="R102" s="46">
        <f t="shared" si="39"/>
        <v>0</v>
      </c>
      <c r="S102" s="221">
        <f t="shared" si="39"/>
        <v>9143504.2899999991</v>
      </c>
      <c r="T102" s="221">
        <f t="shared" si="39"/>
        <v>2155207.19</v>
      </c>
      <c r="U102" s="221">
        <f t="shared" si="39"/>
        <v>0</v>
      </c>
      <c r="V102" s="221">
        <f t="shared" si="39"/>
        <v>0</v>
      </c>
      <c r="W102" s="221">
        <f t="shared" si="39"/>
        <v>9143504.2899999991</v>
      </c>
      <c r="X102" s="221">
        <f t="shared" si="39"/>
        <v>2155207.19</v>
      </c>
      <c r="Y102" s="46">
        <f>Y103</f>
        <v>0</v>
      </c>
      <c r="Z102" s="221">
        <f>Z103</f>
        <v>2155207.19</v>
      </c>
    </row>
    <row r="103" spans="1:26" ht="30.75" customHeight="1" x14ac:dyDescent="0.2">
      <c r="A103" s="188"/>
      <c r="B103" s="212" t="s">
        <v>54</v>
      </c>
      <c r="C103" s="105" t="s">
        <v>76</v>
      </c>
      <c r="D103" s="70" t="s">
        <v>135</v>
      </c>
      <c r="E103" s="66" t="s">
        <v>135</v>
      </c>
      <c r="F103" s="66" t="s">
        <v>135</v>
      </c>
      <c r="G103" s="71" t="s">
        <v>186</v>
      </c>
      <c r="H103" s="76" t="s">
        <v>135</v>
      </c>
      <c r="I103" s="246" t="s">
        <v>55</v>
      </c>
      <c r="J103" s="220">
        <v>539248.80000000005</v>
      </c>
      <c r="K103" s="46">
        <v>2614224.19</v>
      </c>
      <c r="L103" s="216">
        <v>0</v>
      </c>
      <c r="M103" s="216">
        <v>0</v>
      </c>
      <c r="N103" s="216">
        <v>0</v>
      </c>
      <c r="O103" s="216">
        <f>4688284.77+4455219.52</f>
        <v>9143504.2899999991</v>
      </c>
      <c r="P103" s="216">
        <v>0</v>
      </c>
      <c r="Q103" s="216">
        <v>0</v>
      </c>
      <c r="R103" s="216">
        <v>0</v>
      </c>
      <c r="S103" s="216">
        <f>4688284.77+4455219.52</f>
        <v>9143504.2899999991</v>
      </c>
      <c r="T103" s="216">
        <f>759504.79+1395702.4</f>
        <v>2155207.19</v>
      </c>
      <c r="U103" s="216">
        <v>0</v>
      </c>
      <c r="V103" s="216">
        <v>0</v>
      </c>
      <c r="W103" s="216">
        <f>4688284.77+4455219.52</f>
        <v>9143504.2899999991</v>
      </c>
      <c r="X103" s="216">
        <f>759504.79+1395702.4</f>
        <v>2155207.19</v>
      </c>
      <c r="Y103" s="215">
        <v>0</v>
      </c>
      <c r="Z103" s="216">
        <f>759504.79+1395702.4</f>
        <v>2155207.19</v>
      </c>
    </row>
    <row r="104" spans="1:26" ht="30.75" customHeight="1" x14ac:dyDescent="0.2">
      <c r="A104" s="188"/>
      <c r="B104" s="247" t="s">
        <v>166</v>
      </c>
      <c r="C104" s="105" t="s">
        <v>76</v>
      </c>
      <c r="D104" s="70" t="s">
        <v>135</v>
      </c>
      <c r="E104" s="66" t="s">
        <v>135</v>
      </c>
      <c r="F104" s="66" t="s">
        <v>135</v>
      </c>
      <c r="G104" s="71" t="s">
        <v>165</v>
      </c>
      <c r="H104" s="67" t="s">
        <v>135</v>
      </c>
      <c r="I104" s="246"/>
      <c r="J104" s="220">
        <f t="shared" ref="J104:Y105" si="40">J105</f>
        <v>4700000</v>
      </c>
      <c r="K104" s="46">
        <f t="shared" si="40"/>
        <v>0</v>
      </c>
      <c r="L104" s="46">
        <f t="shared" si="40"/>
        <v>0</v>
      </c>
      <c r="M104" s="46">
        <f t="shared" si="40"/>
        <v>0</v>
      </c>
      <c r="N104" s="46">
        <f t="shared" si="40"/>
        <v>0</v>
      </c>
      <c r="O104" s="221">
        <f t="shared" si="40"/>
        <v>10222000</v>
      </c>
      <c r="P104" s="221">
        <f t="shared" si="40"/>
        <v>0</v>
      </c>
      <c r="Q104" s="46">
        <f t="shared" si="40"/>
        <v>952000</v>
      </c>
      <c r="R104" s="46">
        <f t="shared" si="40"/>
        <v>952000</v>
      </c>
      <c r="S104" s="221">
        <f t="shared" si="40"/>
        <v>10222000</v>
      </c>
      <c r="T104" s="221">
        <f t="shared" si="40"/>
        <v>5264000</v>
      </c>
      <c r="U104" s="221">
        <f t="shared" si="40"/>
        <v>0</v>
      </c>
      <c r="V104" s="221">
        <f t="shared" si="40"/>
        <v>0</v>
      </c>
      <c r="W104" s="221">
        <f t="shared" si="40"/>
        <v>10222000</v>
      </c>
      <c r="X104" s="221">
        <f t="shared" si="40"/>
        <v>5264000</v>
      </c>
      <c r="Y104" s="46">
        <f t="shared" si="40"/>
        <v>0</v>
      </c>
      <c r="Z104" s="221">
        <f>Z105</f>
        <v>5264000</v>
      </c>
    </row>
    <row r="105" spans="1:26" ht="30.75" customHeight="1" x14ac:dyDescent="0.2">
      <c r="A105" s="188"/>
      <c r="B105" s="212" t="s">
        <v>52</v>
      </c>
      <c r="C105" s="105" t="s">
        <v>76</v>
      </c>
      <c r="D105" s="70" t="s">
        <v>135</v>
      </c>
      <c r="E105" s="66" t="s">
        <v>135</v>
      </c>
      <c r="F105" s="66" t="s">
        <v>135</v>
      </c>
      <c r="G105" s="71" t="s">
        <v>165</v>
      </c>
      <c r="H105" s="76" t="s">
        <v>135</v>
      </c>
      <c r="I105" s="246" t="s">
        <v>53</v>
      </c>
      <c r="J105" s="220">
        <f t="shared" si="40"/>
        <v>4700000</v>
      </c>
      <c r="K105" s="46">
        <f t="shared" si="40"/>
        <v>0</v>
      </c>
      <c r="L105" s="46">
        <f t="shared" si="40"/>
        <v>0</v>
      </c>
      <c r="M105" s="46">
        <f t="shared" si="40"/>
        <v>0</v>
      </c>
      <c r="N105" s="46">
        <f t="shared" si="40"/>
        <v>0</v>
      </c>
      <c r="O105" s="221">
        <f t="shared" si="40"/>
        <v>10222000</v>
      </c>
      <c r="P105" s="221">
        <f t="shared" si="40"/>
        <v>0</v>
      </c>
      <c r="Q105" s="46">
        <f t="shared" si="40"/>
        <v>952000</v>
      </c>
      <c r="R105" s="46">
        <f t="shared" si="40"/>
        <v>952000</v>
      </c>
      <c r="S105" s="221">
        <f t="shared" si="40"/>
        <v>10222000</v>
      </c>
      <c r="T105" s="221">
        <f t="shared" si="40"/>
        <v>5264000</v>
      </c>
      <c r="U105" s="221">
        <f t="shared" si="40"/>
        <v>0</v>
      </c>
      <c r="V105" s="221">
        <f t="shared" si="40"/>
        <v>0</v>
      </c>
      <c r="W105" s="221">
        <f t="shared" si="40"/>
        <v>10222000</v>
      </c>
      <c r="X105" s="221">
        <f t="shared" si="40"/>
        <v>5264000</v>
      </c>
      <c r="Y105" s="46">
        <f>Y106</f>
        <v>0</v>
      </c>
      <c r="Z105" s="221">
        <f>Z106</f>
        <v>5264000</v>
      </c>
    </row>
    <row r="106" spans="1:26" ht="30.75" customHeight="1" x14ac:dyDescent="0.2">
      <c r="A106" s="188"/>
      <c r="B106" s="212" t="s">
        <v>54</v>
      </c>
      <c r="C106" s="105" t="s">
        <v>76</v>
      </c>
      <c r="D106" s="70" t="s">
        <v>135</v>
      </c>
      <c r="E106" s="66" t="s">
        <v>135</v>
      </c>
      <c r="F106" s="66" t="s">
        <v>135</v>
      </c>
      <c r="G106" s="71" t="s">
        <v>165</v>
      </c>
      <c r="H106" s="76" t="s">
        <v>135</v>
      </c>
      <c r="I106" s="246" t="s">
        <v>55</v>
      </c>
      <c r="J106" s="220">
        <v>4700000</v>
      </c>
      <c r="K106" s="46">
        <v>0</v>
      </c>
      <c r="L106" s="216">
        <v>0</v>
      </c>
      <c r="M106" s="216">
        <v>0</v>
      </c>
      <c r="N106" s="216">
        <v>0</v>
      </c>
      <c r="O106" s="216">
        <v>10222000</v>
      </c>
      <c r="P106" s="216">
        <v>0</v>
      </c>
      <c r="Q106" s="216">
        <v>952000</v>
      </c>
      <c r="R106" s="216">
        <f>Q106</f>
        <v>952000</v>
      </c>
      <c r="S106" s="216">
        <v>10222000</v>
      </c>
      <c r="T106" s="216">
        <v>5264000</v>
      </c>
      <c r="U106" s="216">
        <v>0</v>
      </c>
      <c r="V106" s="216">
        <v>0</v>
      </c>
      <c r="W106" s="216">
        <v>10222000</v>
      </c>
      <c r="X106" s="216">
        <v>5264000</v>
      </c>
      <c r="Y106" s="215">
        <v>0</v>
      </c>
      <c r="Z106" s="216">
        <v>5264000</v>
      </c>
    </row>
    <row r="107" spans="1:26" ht="39.75" hidden="1" customHeight="1" x14ac:dyDescent="0.2">
      <c r="A107" s="188"/>
      <c r="B107" s="212" t="s">
        <v>347</v>
      </c>
      <c r="C107" s="117" t="s">
        <v>76</v>
      </c>
      <c r="D107" s="72" t="s">
        <v>135</v>
      </c>
      <c r="E107" s="66" t="s">
        <v>135</v>
      </c>
      <c r="F107" s="66" t="s">
        <v>135</v>
      </c>
      <c r="G107" s="72" t="s">
        <v>389</v>
      </c>
      <c r="H107" s="67" t="s">
        <v>135</v>
      </c>
      <c r="I107" s="309"/>
      <c r="J107" s="68">
        <f t="shared" ref="J107:Z108" si="41">J108</f>
        <v>600000</v>
      </c>
      <c r="K107" s="69">
        <f t="shared" si="41"/>
        <v>0</v>
      </c>
      <c r="L107" s="216">
        <f t="shared" si="41"/>
        <v>0</v>
      </c>
      <c r="M107" s="216">
        <f t="shared" si="41"/>
        <v>0</v>
      </c>
      <c r="N107" s="216">
        <f t="shared" si="41"/>
        <v>1781620</v>
      </c>
      <c r="O107" s="215">
        <f t="shared" si="41"/>
        <v>10222000</v>
      </c>
      <c r="P107" s="216">
        <f t="shared" si="41"/>
        <v>0</v>
      </c>
      <c r="Q107" s="216">
        <f t="shared" si="41"/>
        <v>-1781620</v>
      </c>
      <c r="R107" s="216">
        <f t="shared" si="41"/>
        <v>0</v>
      </c>
      <c r="S107" s="217">
        <f t="shared" si="41"/>
        <v>0</v>
      </c>
      <c r="T107" s="216">
        <f t="shared" si="41"/>
        <v>5264000</v>
      </c>
      <c r="U107" s="215">
        <f t="shared" si="41"/>
        <v>0</v>
      </c>
      <c r="V107" s="216">
        <f t="shared" si="41"/>
        <v>0</v>
      </c>
      <c r="W107" s="217">
        <f t="shared" si="41"/>
        <v>0</v>
      </c>
      <c r="X107" s="216">
        <f t="shared" si="41"/>
        <v>0</v>
      </c>
      <c r="Y107" s="215">
        <f t="shared" si="41"/>
        <v>0</v>
      </c>
      <c r="Z107" s="216">
        <f t="shared" si="41"/>
        <v>0</v>
      </c>
    </row>
    <row r="108" spans="1:26" ht="30.75" hidden="1" customHeight="1" x14ac:dyDescent="0.2">
      <c r="A108" s="188"/>
      <c r="B108" s="212" t="s">
        <v>52</v>
      </c>
      <c r="C108" s="117" t="s">
        <v>76</v>
      </c>
      <c r="D108" s="72" t="s">
        <v>135</v>
      </c>
      <c r="E108" s="66" t="s">
        <v>135</v>
      </c>
      <c r="F108" s="66" t="s">
        <v>135</v>
      </c>
      <c r="G108" s="72" t="s">
        <v>389</v>
      </c>
      <c r="H108" s="67" t="s">
        <v>135</v>
      </c>
      <c r="I108" s="309">
        <v>200</v>
      </c>
      <c r="J108" s="68">
        <f t="shared" si="41"/>
        <v>600000</v>
      </c>
      <c r="K108" s="69">
        <f t="shared" si="41"/>
        <v>0</v>
      </c>
      <c r="L108" s="216">
        <f t="shared" si="41"/>
        <v>0</v>
      </c>
      <c r="M108" s="216">
        <f t="shared" si="41"/>
        <v>0</v>
      </c>
      <c r="N108" s="216">
        <f t="shared" si="41"/>
        <v>1781620</v>
      </c>
      <c r="O108" s="215">
        <f t="shared" si="41"/>
        <v>10222000</v>
      </c>
      <c r="P108" s="216">
        <f t="shared" si="41"/>
        <v>0</v>
      </c>
      <c r="Q108" s="216">
        <f t="shared" si="41"/>
        <v>-1781620</v>
      </c>
      <c r="R108" s="216">
        <f t="shared" si="41"/>
        <v>0</v>
      </c>
      <c r="S108" s="217">
        <f t="shared" si="41"/>
        <v>0</v>
      </c>
      <c r="T108" s="216">
        <f t="shared" si="41"/>
        <v>5264000</v>
      </c>
      <c r="U108" s="215">
        <f t="shared" si="41"/>
        <v>0</v>
      </c>
      <c r="V108" s="216">
        <f t="shared" si="41"/>
        <v>0</v>
      </c>
      <c r="W108" s="217">
        <f t="shared" si="41"/>
        <v>0</v>
      </c>
      <c r="X108" s="216">
        <f t="shared" si="41"/>
        <v>0</v>
      </c>
      <c r="Y108" s="215">
        <f t="shared" si="41"/>
        <v>0</v>
      </c>
      <c r="Z108" s="216">
        <f t="shared" si="41"/>
        <v>0</v>
      </c>
    </row>
    <row r="109" spans="1:26" ht="30.75" hidden="1" customHeight="1" x14ac:dyDescent="0.2">
      <c r="A109" s="188"/>
      <c r="B109" s="212" t="s">
        <v>54</v>
      </c>
      <c r="C109" s="117" t="s">
        <v>76</v>
      </c>
      <c r="D109" s="72" t="s">
        <v>135</v>
      </c>
      <c r="E109" s="66" t="s">
        <v>135</v>
      </c>
      <c r="F109" s="66" t="s">
        <v>135</v>
      </c>
      <c r="G109" s="72" t="s">
        <v>389</v>
      </c>
      <c r="H109" s="67" t="s">
        <v>135</v>
      </c>
      <c r="I109" s="309">
        <v>240</v>
      </c>
      <c r="J109" s="68">
        <v>600000</v>
      </c>
      <c r="K109" s="69">
        <v>0</v>
      </c>
      <c r="L109" s="216">
        <v>0</v>
      </c>
      <c r="M109" s="216">
        <v>0</v>
      </c>
      <c r="N109" s="216">
        <v>1781620</v>
      </c>
      <c r="O109" s="215">
        <v>10222000</v>
      </c>
      <c r="P109" s="216">
        <v>0</v>
      </c>
      <c r="Q109" s="216">
        <v>-1781620</v>
      </c>
      <c r="R109" s="216">
        <v>0</v>
      </c>
      <c r="S109" s="217">
        <v>0</v>
      </c>
      <c r="T109" s="216">
        <v>5264000</v>
      </c>
      <c r="U109" s="215">
        <v>0</v>
      </c>
      <c r="V109" s="216">
        <v>0</v>
      </c>
      <c r="W109" s="217">
        <v>0</v>
      </c>
      <c r="X109" s="216">
        <v>0</v>
      </c>
      <c r="Y109" s="215">
        <v>0</v>
      </c>
      <c r="Z109" s="216">
        <v>0</v>
      </c>
    </row>
    <row r="110" spans="1:26" ht="6.75" customHeight="1" x14ac:dyDescent="0.2">
      <c r="A110" s="188"/>
      <c r="B110" s="231"/>
      <c r="C110" s="232"/>
      <c r="D110" s="233"/>
      <c r="E110" s="233"/>
      <c r="F110" s="233"/>
      <c r="G110" s="233"/>
      <c r="H110" s="234"/>
      <c r="I110" s="235"/>
      <c r="J110" s="236"/>
      <c r="K110" s="237"/>
      <c r="L110" s="237"/>
      <c r="M110" s="237"/>
      <c r="N110" s="237"/>
      <c r="O110" s="238"/>
      <c r="P110" s="238"/>
      <c r="Q110" s="237"/>
      <c r="R110" s="237"/>
      <c r="S110" s="238"/>
      <c r="T110" s="238"/>
      <c r="U110" s="238"/>
      <c r="V110" s="238"/>
      <c r="W110" s="238"/>
      <c r="X110" s="238"/>
      <c r="Y110" s="237"/>
      <c r="Z110" s="238"/>
    </row>
    <row r="111" spans="1:26" ht="67.5" customHeight="1" x14ac:dyDescent="0.2">
      <c r="A111" s="188"/>
      <c r="B111" s="250" t="s">
        <v>356</v>
      </c>
      <c r="C111" s="251" t="s">
        <v>72</v>
      </c>
      <c r="D111" s="252" t="s">
        <v>135</v>
      </c>
      <c r="E111" s="253" t="s">
        <v>135</v>
      </c>
      <c r="F111" s="253" t="s">
        <v>135</v>
      </c>
      <c r="G111" s="252" t="s">
        <v>136</v>
      </c>
      <c r="H111" s="241" t="s">
        <v>135</v>
      </c>
      <c r="I111" s="184"/>
      <c r="J111" s="254" t="e">
        <f>#REF!+J112+J117</f>
        <v>#REF!</v>
      </c>
      <c r="K111" s="255" t="e">
        <f>#REF!+K112+K117</f>
        <v>#REF!</v>
      </c>
      <c r="L111" s="255">
        <f t="shared" ref="L111:X111" si="42">L112+L117+L120+L123</f>
        <v>2171224.5699999998</v>
      </c>
      <c r="M111" s="255">
        <f t="shared" si="42"/>
        <v>720000</v>
      </c>
      <c r="N111" s="255">
        <f t="shared" si="42"/>
        <v>16369978.57</v>
      </c>
      <c r="O111" s="256">
        <f t="shared" si="42"/>
        <v>5108475.05</v>
      </c>
      <c r="P111" s="256">
        <f t="shared" si="42"/>
        <v>0</v>
      </c>
      <c r="Q111" s="255">
        <f>Q112+Q117+Q120+Q123</f>
        <v>0</v>
      </c>
      <c r="R111" s="255">
        <f>R112+R117+R120+R123</f>
        <v>16369978.57</v>
      </c>
      <c r="S111" s="256">
        <f t="shared" si="42"/>
        <v>5108475.05</v>
      </c>
      <c r="T111" s="256">
        <f t="shared" si="42"/>
        <v>2603475.0499999998</v>
      </c>
      <c r="U111" s="256">
        <f t="shared" si="42"/>
        <v>0</v>
      </c>
      <c r="V111" s="256">
        <f>V112+V117+V120+V123</f>
        <v>0</v>
      </c>
      <c r="W111" s="256">
        <f>W112+W117+W120+W123</f>
        <v>5108475.05</v>
      </c>
      <c r="X111" s="256">
        <f t="shared" si="42"/>
        <v>2603475.0499999998</v>
      </c>
      <c r="Y111" s="255">
        <f>Y112+Y117+Y120+Y123</f>
        <v>0</v>
      </c>
      <c r="Z111" s="256">
        <f>Z112+Z117+Z120+Z123</f>
        <v>2603475.0499999998</v>
      </c>
    </row>
    <row r="112" spans="1:26" ht="25.5" x14ac:dyDescent="0.2">
      <c r="A112" s="188"/>
      <c r="B112" s="258" t="s">
        <v>374</v>
      </c>
      <c r="C112" s="77" t="s">
        <v>72</v>
      </c>
      <c r="D112" s="79" t="s">
        <v>135</v>
      </c>
      <c r="E112" s="66" t="s">
        <v>135</v>
      </c>
      <c r="F112" s="66" t="s">
        <v>135</v>
      </c>
      <c r="G112" s="79" t="s">
        <v>198</v>
      </c>
      <c r="H112" s="67" t="s">
        <v>135</v>
      </c>
      <c r="I112" s="208"/>
      <c r="J112" s="118" t="e">
        <f>J113+J115+#REF!</f>
        <v>#REF!</v>
      </c>
      <c r="K112" s="209" t="e">
        <f>K113+K115+#REF!</f>
        <v>#REF!</v>
      </c>
      <c r="L112" s="209">
        <f t="shared" ref="L112:X112" si="43">L113+L115</f>
        <v>0</v>
      </c>
      <c r="M112" s="209">
        <f t="shared" si="43"/>
        <v>0</v>
      </c>
      <c r="N112" s="209">
        <f t="shared" si="43"/>
        <v>0</v>
      </c>
      <c r="O112" s="210">
        <f t="shared" si="43"/>
        <v>325000</v>
      </c>
      <c r="P112" s="210">
        <f t="shared" si="43"/>
        <v>0</v>
      </c>
      <c r="Q112" s="209">
        <f>Q113+Q115</f>
        <v>0</v>
      </c>
      <c r="R112" s="209">
        <f>R113+R115</f>
        <v>0</v>
      </c>
      <c r="S112" s="210">
        <f t="shared" si="43"/>
        <v>325000</v>
      </c>
      <c r="T112" s="210">
        <f t="shared" si="43"/>
        <v>410000</v>
      </c>
      <c r="U112" s="210">
        <f t="shared" si="43"/>
        <v>0</v>
      </c>
      <c r="V112" s="210">
        <f>V113+V115</f>
        <v>0</v>
      </c>
      <c r="W112" s="210">
        <f>W113+W115</f>
        <v>325000</v>
      </c>
      <c r="X112" s="210">
        <f t="shared" si="43"/>
        <v>410000</v>
      </c>
      <c r="Y112" s="209">
        <f>Y113+Y115</f>
        <v>0</v>
      </c>
      <c r="Z112" s="210">
        <f>Z113+Z115</f>
        <v>410000</v>
      </c>
    </row>
    <row r="113" spans="1:26" ht="51" x14ac:dyDescent="0.2">
      <c r="A113" s="188"/>
      <c r="B113" s="212" t="s">
        <v>67</v>
      </c>
      <c r="C113" s="77" t="s">
        <v>72</v>
      </c>
      <c r="D113" s="79" t="s">
        <v>135</v>
      </c>
      <c r="E113" s="66" t="s">
        <v>135</v>
      </c>
      <c r="F113" s="66" t="s">
        <v>135</v>
      </c>
      <c r="G113" s="79" t="s">
        <v>198</v>
      </c>
      <c r="H113" s="67" t="s">
        <v>135</v>
      </c>
      <c r="I113" s="208" t="s">
        <v>60</v>
      </c>
      <c r="J113" s="118">
        <f t="shared" ref="J113:Z113" si="44">J114</f>
        <v>30000</v>
      </c>
      <c r="K113" s="209">
        <f t="shared" si="44"/>
        <v>0</v>
      </c>
      <c r="L113" s="224">
        <f t="shared" si="44"/>
        <v>0</v>
      </c>
      <c r="M113" s="224">
        <f t="shared" si="44"/>
        <v>0</v>
      </c>
      <c r="N113" s="224">
        <f t="shared" si="44"/>
        <v>0</v>
      </c>
      <c r="O113" s="224">
        <f t="shared" si="44"/>
        <v>30000</v>
      </c>
      <c r="P113" s="224">
        <f t="shared" si="44"/>
        <v>0</v>
      </c>
      <c r="Q113" s="224">
        <f t="shared" si="44"/>
        <v>0</v>
      </c>
      <c r="R113" s="224">
        <f t="shared" si="44"/>
        <v>0</v>
      </c>
      <c r="S113" s="224">
        <f t="shared" si="44"/>
        <v>30000</v>
      </c>
      <c r="T113" s="224">
        <f t="shared" si="44"/>
        <v>30000</v>
      </c>
      <c r="U113" s="224">
        <f t="shared" si="44"/>
        <v>0</v>
      </c>
      <c r="V113" s="224">
        <f t="shared" si="44"/>
        <v>0</v>
      </c>
      <c r="W113" s="224">
        <f t="shared" si="44"/>
        <v>30000</v>
      </c>
      <c r="X113" s="224">
        <f t="shared" si="44"/>
        <v>30000</v>
      </c>
      <c r="Y113" s="223">
        <f t="shared" si="44"/>
        <v>0</v>
      </c>
      <c r="Z113" s="224">
        <f t="shared" si="44"/>
        <v>30000</v>
      </c>
    </row>
    <row r="114" spans="1:26" ht="25.5" x14ac:dyDescent="0.2">
      <c r="A114" s="188"/>
      <c r="B114" s="212" t="s">
        <v>61</v>
      </c>
      <c r="C114" s="77" t="s">
        <v>72</v>
      </c>
      <c r="D114" s="79" t="s">
        <v>135</v>
      </c>
      <c r="E114" s="66" t="s">
        <v>135</v>
      </c>
      <c r="F114" s="66" t="s">
        <v>135</v>
      </c>
      <c r="G114" s="79" t="s">
        <v>198</v>
      </c>
      <c r="H114" s="67" t="s">
        <v>135</v>
      </c>
      <c r="I114" s="208" t="s">
        <v>171</v>
      </c>
      <c r="J114" s="118">
        <v>30000</v>
      </c>
      <c r="K114" s="209">
        <v>0</v>
      </c>
      <c r="L114" s="224">
        <v>0</v>
      </c>
      <c r="M114" s="224">
        <v>0</v>
      </c>
      <c r="N114" s="224">
        <v>0</v>
      </c>
      <c r="O114" s="224">
        <v>30000</v>
      </c>
      <c r="P114" s="224">
        <v>0</v>
      </c>
      <c r="Q114" s="224">
        <v>0</v>
      </c>
      <c r="R114" s="224">
        <v>0</v>
      </c>
      <c r="S114" s="224">
        <v>30000</v>
      </c>
      <c r="T114" s="224">
        <v>30000</v>
      </c>
      <c r="U114" s="224">
        <v>0</v>
      </c>
      <c r="V114" s="224">
        <v>0</v>
      </c>
      <c r="W114" s="224">
        <v>30000</v>
      </c>
      <c r="X114" s="224">
        <v>30000</v>
      </c>
      <c r="Y114" s="223">
        <v>0</v>
      </c>
      <c r="Z114" s="224">
        <v>30000</v>
      </c>
    </row>
    <row r="115" spans="1:26" ht="25.5" x14ac:dyDescent="0.2">
      <c r="A115" s="188"/>
      <c r="B115" s="212" t="s">
        <v>52</v>
      </c>
      <c r="C115" s="77" t="s">
        <v>72</v>
      </c>
      <c r="D115" s="79" t="s">
        <v>135</v>
      </c>
      <c r="E115" s="66" t="s">
        <v>135</v>
      </c>
      <c r="F115" s="66" t="s">
        <v>135</v>
      </c>
      <c r="G115" s="79" t="s">
        <v>198</v>
      </c>
      <c r="H115" s="67" t="s">
        <v>135</v>
      </c>
      <c r="I115" s="208" t="s">
        <v>53</v>
      </c>
      <c r="J115" s="118">
        <f t="shared" ref="J115:Z115" si="45">J116</f>
        <v>40000</v>
      </c>
      <c r="K115" s="209">
        <f t="shared" si="45"/>
        <v>0</v>
      </c>
      <c r="L115" s="224">
        <f t="shared" si="45"/>
        <v>0</v>
      </c>
      <c r="M115" s="224">
        <f t="shared" si="45"/>
        <v>0</v>
      </c>
      <c r="N115" s="224">
        <f t="shared" si="45"/>
        <v>0</v>
      </c>
      <c r="O115" s="224">
        <f t="shared" si="45"/>
        <v>295000</v>
      </c>
      <c r="P115" s="224">
        <f t="shared" si="45"/>
        <v>0</v>
      </c>
      <c r="Q115" s="224">
        <f t="shared" si="45"/>
        <v>0</v>
      </c>
      <c r="R115" s="224">
        <f t="shared" si="45"/>
        <v>0</v>
      </c>
      <c r="S115" s="224">
        <f t="shared" si="45"/>
        <v>295000</v>
      </c>
      <c r="T115" s="224">
        <f t="shared" si="45"/>
        <v>380000</v>
      </c>
      <c r="U115" s="224">
        <f t="shared" si="45"/>
        <v>0</v>
      </c>
      <c r="V115" s="224">
        <f t="shared" si="45"/>
        <v>0</v>
      </c>
      <c r="W115" s="224">
        <f t="shared" si="45"/>
        <v>295000</v>
      </c>
      <c r="X115" s="224">
        <f t="shared" si="45"/>
        <v>380000</v>
      </c>
      <c r="Y115" s="223">
        <f t="shared" si="45"/>
        <v>0</v>
      </c>
      <c r="Z115" s="224">
        <f t="shared" si="45"/>
        <v>380000</v>
      </c>
    </row>
    <row r="116" spans="1:26" ht="25.5" x14ac:dyDescent="0.2">
      <c r="A116" s="188"/>
      <c r="B116" s="212" t="s">
        <v>54</v>
      </c>
      <c r="C116" s="77" t="s">
        <v>72</v>
      </c>
      <c r="D116" s="79" t="s">
        <v>135</v>
      </c>
      <c r="E116" s="66" t="s">
        <v>135</v>
      </c>
      <c r="F116" s="66" t="s">
        <v>135</v>
      </c>
      <c r="G116" s="79" t="s">
        <v>198</v>
      </c>
      <c r="H116" s="67" t="s">
        <v>135</v>
      </c>
      <c r="I116" s="208" t="s">
        <v>55</v>
      </c>
      <c r="J116" s="118">
        <v>40000</v>
      </c>
      <c r="K116" s="209">
        <v>0</v>
      </c>
      <c r="L116" s="224">
        <v>0</v>
      </c>
      <c r="M116" s="224">
        <v>0</v>
      </c>
      <c r="N116" s="224">
        <v>0</v>
      </c>
      <c r="O116" s="224">
        <v>295000</v>
      </c>
      <c r="P116" s="224">
        <v>0</v>
      </c>
      <c r="Q116" s="224">
        <v>0</v>
      </c>
      <c r="R116" s="224">
        <v>0</v>
      </c>
      <c r="S116" s="224">
        <v>295000</v>
      </c>
      <c r="T116" s="224">
        <v>380000</v>
      </c>
      <c r="U116" s="224">
        <v>0</v>
      </c>
      <c r="V116" s="224">
        <v>0</v>
      </c>
      <c r="W116" s="224">
        <v>295000</v>
      </c>
      <c r="X116" s="224">
        <v>380000</v>
      </c>
      <c r="Y116" s="223">
        <v>0</v>
      </c>
      <c r="Z116" s="224">
        <v>380000</v>
      </c>
    </row>
    <row r="117" spans="1:26" ht="63" customHeight="1" x14ac:dyDescent="0.2">
      <c r="A117" s="188"/>
      <c r="B117" s="207" t="s">
        <v>373</v>
      </c>
      <c r="C117" s="58" t="s">
        <v>72</v>
      </c>
      <c r="D117" s="60" t="s">
        <v>135</v>
      </c>
      <c r="E117" s="66" t="s">
        <v>135</v>
      </c>
      <c r="F117" s="66" t="s">
        <v>135</v>
      </c>
      <c r="G117" s="66" t="s">
        <v>182</v>
      </c>
      <c r="H117" s="76" t="s">
        <v>135</v>
      </c>
      <c r="I117" s="246"/>
      <c r="J117" s="118">
        <f t="shared" ref="J117:Y118" si="46">J118</f>
        <v>35000</v>
      </c>
      <c r="K117" s="209">
        <f t="shared" si="46"/>
        <v>0</v>
      </c>
      <c r="L117" s="216">
        <f t="shared" si="46"/>
        <v>0</v>
      </c>
      <c r="M117" s="216">
        <f t="shared" si="46"/>
        <v>20000</v>
      </c>
      <c r="N117" s="216">
        <f t="shared" si="46"/>
        <v>20000</v>
      </c>
      <c r="O117" s="216">
        <f t="shared" si="46"/>
        <v>50000</v>
      </c>
      <c r="P117" s="216">
        <f t="shared" si="46"/>
        <v>0</v>
      </c>
      <c r="Q117" s="216">
        <f t="shared" si="46"/>
        <v>0</v>
      </c>
      <c r="R117" s="216">
        <f t="shared" si="46"/>
        <v>20000</v>
      </c>
      <c r="S117" s="216">
        <f t="shared" si="46"/>
        <v>50000</v>
      </c>
      <c r="T117" s="216">
        <f t="shared" si="46"/>
        <v>60000</v>
      </c>
      <c r="U117" s="216">
        <f t="shared" si="46"/>
        <v>0</v>
      </c>
      <c r="V117" s="216">
        <f t="shared" si="46"/>
        <v>0</v>
      </c>
      <c r="W117" s="216">
        <f t="shared" si="46"/>
        <v>50000</v>
      </c>
      <c r="X117" s="216">
        <f t="shared" si="46"/>
        <v>60000</v>
      </c>
      <c r="Y117" s="215">
        <f t="shared" si="46"/>
        <v>0</v>
      </c>
      <c r="Z117" s="216">
        <f>Z118</f>
        <v>60000</v>
      </c>
    </row>
    <row r="118" spans="1:26" ht="31.5" customHeight="1" x14ac:dyDescent="0.2">
      <c r="A118" s="188"/>
      <c r="B118" s="212" t="s">
        <v>21</v>
      </c>
      <c r="C118" s="58" t="s">
        <v>72</v>
      </c>
      <c r="D118" s="60" t="s">
        <v>135</v>
      </c>
      <c r="E118" s="66" t="s">
        <v>135</v>
      </c>
      <c r="F118" s="66" t="s">
        <v>135</v>
      </c>
      <c r="G118" s="66" t="s">
        <v>182</v>
      </c>
      <c r="H118" s="76" t="s">
        <v>135</v>
      </c>
      <c r="I118" s="246" t="s">
        <v>149</v>
      </c>
      <c r="J118" s="118">
        <f t="shared" si="46"/>
        <v>35000</v>
      </c>
      <c r="K118" s="209">
        <f t="shared" si="46"/>
        <v>0</v>
      </c>
      <c r="L118" s="216">
        <f t="shared" si="46"/>
        <v>0</v>
      </c>
      <c r="M118" s="216">
        <f t="shared" si="46"/>
        <v>20000</v>
      </c>
      <c r="N118" s="216">
        <f t="shared" si="46"/>
        <v>20000</v>
      </c>
      <c r="O118" s="216">
        <f t="shared" si="46"/>
        <v>50000</v>
      </c>
      <c r="P118" s="216">
        <f t="shared" si="46"/>
        <v>0</v>
      </c>
      <c r="Q118" s="216">
        <f t="shared" si="46"/>
        <v>0</v>
      </c>
      <c r="R118" s="216">
        <f t="shared" si="46"/>
        <v>20000</v>
      </c>
      <c r="S118" s="216">
        <f t="shared" si="46"/>
        <v>50000</v>
      </c>
      <c r="T118" s="216">
        <f t="shared" si="46"/>
        <v>60000</v>
      </c>
      <c r="U118" s="216">
        <f t="shared" si="46"/>
        <v>0</v>
      </c>
      <c r="V118" s="216">
        <f t="shared" si="46"/>
        <v>0</v>
      </c>
      <c r="W118" s="216">
        <f t="shared" si="46"/>
        <v>50000</v>
      </c>
      <c r="X118" s="216">
        <f t="shared" si="46"/>
        <v>60000</v>
      </c>
      <c r="Y118" s="215">
        <f>Y119</f>
        <v>0</v>
      </c>
      <c r="Z118" s="216">
        <f>Z119</f>
        <v>60000</v>
      </c>
    </row>
    <row r="119" spans="1:26" ht="42.75" customHeight="1" x14ac:dyDescent="0.2">
      <c r="A119" s="188"/>
      <c r="B119" s="259" t="s">
        <v>209</v>
      </c>
      <c r="C119" s="58" t="s">
        <v>72</v>
      </c>
      <c r="D119" s="60" t="s">
        <v>135</v>
      </c>
      <c r="E119" s="66" t="s">
        <v>135</v>
      </c>
      <c r="F119" s="66" t="s">
        <v>135</v>
      </c>
      <c r="G119" s="66" t="s">
        <v>182</v>
      </c>
      <c r="H119" s="76" t="s">
        <v>135</v>
      </c>
      <c r="I119" s="246" t="s">
        <v>156</v>
      </c>
      <c r="J119" s="118">
        <v>35000</v>
      </c>
      <c r="K119" s="118">
        <v>0</v>
      </c>
      <c r="L119" s="216">
        <v>0</v>
      </c>
      <c r="M119" s="216">
        <v>20000</v>
      </c>
      <c r="N119" s="216">
        <f>M119</f>
        <v>20000</v>
      </c>
      <c r="O119" s="216">
        <v>50000</v>
      </c>
      <c r="P119" s="216">
        <v>0</v>
      </c>
      <c r="Q119" s="216">
        <f>P119</f>
        <v>0</v>
      </c>
      <c r="R119" s="216">
        <v>20000</v>
      </c>
      <c r="S119" s="216">
        <v>50000</v>
      </c>
      <c r="T119" s="216">
        <v>60000</v>
      </c>
      <c r="U119" s="216">
        <v>0</v>
      </c>
      <c r="V119" s="216">
        <v>0</v>
      </c>
      <c r="W119" s="216">
        <v>50000</v>
      </c>
      <c r="X119" s="216">
        <v>60000</v>
      </c>
      <c r="Y119" s="215">
        <v>0</v>
      </c>
      <c r="Z119" s="216">
        <v>60000</v>
      </c>
    </row>
    <row r="120" spans="1:26" ht="42.75" customHeight="1" x14ac:dyDescent="0.2">
      <c r="A120" s="188"/>
      <c r="B120" s="207" t="s">
        <v>302</v>
      </c>
      <c r="C120" s="58" t="s">
        <v>72</v>
      </c>
      <c r="D120" s="60" t="s">
        <v>135</v>
      </c>
      <c r="E120" s="66" t="s">
        <v>135</v>
      </c>
      <c r="F120" s="66" t="s">
        <v>135</v>
      </c>
      <c r="G120" s="66" t="s">
        <v>301</v>
      </c>
      <c r="H120" s="76" t="s">
        <v>135</v>
      </c>
      <c r="I120" s="408"/>
      <c r="J120" s="68">
        <f t="shared" ref="J120:Y121" si="47">J121</f>
        <v>35000</v>
      </c>
      <c r="K120" s="69">
        <f t="shared" si="47"/>
        <v>0</v>
      </c>
      <c r="L120" s="216">
        <f t="shared" si="47"/>
        <v>2171224.5699999998</v>
      </c>
      <c r="M120" s="216">
        <f t="shared" si="47"/>
        <v>0</v>
      </c>
      <c r="N120" s="216">
        <f t="shared" si="47"/>
        <v>2171224.5699999998</v>
      </c>
      <c r="O120" s="216">
        <f t="shared" si="47"/>
        <v>2133475.0499999998</v>
      </c>
      <c r="P120" s="216">
        <f t="shared" si="47"/>
        <v>0</v>
      </c>
      <c r="Q120" s="216">
        <f t="shared" si="47"/>
        <v>0</v>
      </c>
      <c r="R120" s="216">
        <f t="shared" si="47"/>
        <v>2171224.5699999998</v>
      </c>
      <c r="S120" s="216">
        <f t="shared" si="47"/>
        <v>2133475.0499999998</v>
      </c>
      <c r="T120" s="216">
        <f t="shared" si="47"/>
        <v>2133475.0499999998</v>
      </c>
      <c r="U120" s="216">
        <f t="shared" si="47"/>
        <v>0</v>
      </c>
      <c r="V120" s="216">
        <f t="shared" si="47"/>
        <v>0</v>
      </c>
      <c r="W120" s="216">
        <f t="shared" si="47"/>
        <v>2133475.0499999998</v>
      </c>
      <c r="X120" s="216">
        <f t="shared" si="47"/>
        <v>2133475.0499999998</v>
      </c>
      <c r="Y120" s="215">
        <f t="shared" si="47"/>
        <v>0</v>
      </c>
      <c r="Z120" s="216">
        <f>Z121</f>
        <v>2133475.0499999998</v>
      </c>
    </row>
    <row r="121" spans="1:26" ht="36" customHeight="1" x14ac:dyDescent="0.2">
      <c r="A121" s="188"/>
      <c r="B121" s="212" t="s">
        <v>52</v>
      </c>
      <c r="C121" s="58" t="s">
        <v>72</v>
      </c>
      <c r="D121" s="60" t="s">
        <v>135</v>
      </c>
      <c r="E121" s="66" t="s">
        <v>135</v>
      </c>
      <c r="F121" s="66" t="s">
        <v>135</v>
      </c>
      <c r="G121" s="66" t="s">
        <v>301</v>
      </c>
      <c r="H121" s="76" t="s">
        <v>135</v>
      </c>
      <c r="I121" s="372" t="s">
        <v>53</v>
      </c>
      <c r="J121" s="68">
        <f t="shared" si="47"/>
        <v>35000</v>
      </c>
      <c r="K121" s="69">
        <f t="shared" si="47"/>
        <v>0</v>
      </c>
      <c r="L121" s="216">
        <f t="shared" si="47"/>
        <v>2171224.5699999998</v>
      </c>
      <c r="M121" s="216">
        <f t="shared" si="47"/>
        <v>0</v>
      </c>
      <c r="N121" s="216">
        <f t="shared" si="47"/>
        <v>2171224.5699999998</v>
      </c>
      <c r="O121" s="216">
        <f t="shared" si="47"/>
        <v>2133475.0499999998</v>
      </c>
      <c r="P121" s="216">
        <f t="shared" si="47"/>
        <v>0</v>
      </c>
      <c r="Q121" s="216">
        <f t="shared" si="47"/>
        <v>0</v>
      </c>
      <c r="R121" s="216">
        <f t="shared" si="47"/>
        <v>2171224.5699999998</v>
      </c>
      <c r="S121" s="216">
        <f t="shared" si="47"/>
        <v>2133475.0499999998</v>
      </c>
      <c r="T121" s="216">
        <f t="shared" si="47"/>
        <v>2133475.0499999998</v>
      </c>
      <c r="U121" s="216">
        <f t="shared" si="47"/>
        <v>0</v>
      </c>
      <c r="V121" s="216">
        <f t="shared" si="47"/>
        <v>0</v>
      </c>
      <c r="W121" s="216">
        <f t="shared" si="47"/>
        <v>2133475.0499999998</v>
      </c>
      <c r="X121" s="216">
        <f t="shared" si="47"/>
        <v>2133475.0499999998</v>
      </c>
      <c r="Y121" s="215">
        <f>Y122</f>
        <v>0</v>
      </c>
      <c r="Z121" s="216">
        <f>Z122</f>
        <v>2133475.0499999998</v>
      </c>
    </row>
    <row r="122" spans="1:26" ht="33.75" customHeight="1" x14ac:dyDescent="0.2">
      <c r="A122" s="188"/>
      <c r="B122" s="212" t="s">
        <v>54</v>
      </c>
      <c r="C122" s="58" t="s">
        <v>72</v>
      </c>
      <c r="D122" s="60" t="s">
        <v>135</v>
      </c>
      <c r="E122" s="66" t="s">
        <v>135</v>
      </c>
      <c r="F122" s="66" t="s">
        <v>135</v>
      </c>
      <c r="G122" s="66" t="s">
        <v>301</v>
      </c>
      <c r="H122" s="76" t="s">
        <v>135</v>
      </c>
      <c r="I122" s="372" t="s">
        <v>55</v>
      </c>
      <c r="J122" s="68">
        <v>35000</v>
      </c>
      <c r="K122" s="69">
        <v>0</v>
      </c>
      <c r="L122" s="216">
        <f>1628418.43+542806.14</f>
        <v>2171224.5699999998</v>
      </c>
      <c r="M122" s="216">
        <v>0</v>
      </c>
      <c r="N122" s="216">
        <f>1628418.43+542806.14</f>
        <v>2171224.5699999998</v>
      </c>
      <c r="O122" s="216">
        <f>1600075.05+533400</f>
        <v>2133475.0499999998</v>
      </c>
      <c r="P122" s="216">
        <v>0</v>
      </c>
      <c r="Q122" s="216">
        <v>0</v>
      </c>
      <c r="R122" s="216">
        <f>1628418.43+542806.14</f>
        <v>2171224.5699999998</v>
      </c>
      <c r="S122" s="216">
        <f>1600075.05+533400</f>
        <v>2133475.0499999998</v>
      </c>
      <c r="T122" s="216">
        <f>1600075.05+533400</f>
        <v>2133475.0499999998</v>
      </c>
      <c r="U122" s="216">
        <v>0</v>
      </c>
      <c r="V122" s="216">
        <v>0</v>
      </c>
      <c r="W122" s="216">
        <f>1600075.05+533400</f>
        <v>2133475.0499999998</v>
      </c>
      <c r="X122" s="216">
        <f>1600075.05+533400</f>
        <v>2133475.0499999998</v>
      </c>
      <c r="Y122" s="215">
        <v>0</v>
      </c>
      <c r="Z122" s="216">
        <f>1600075.05+533400</f>
        <v>2133475.0499999998</v>
      </c>
    </row>
    <row r="123" spans="1:26" ht="66" customHeight="1" x14ac:dyDescent="0.2">
      <c r="A123" s="188"/>
      <c r="B123" s="212" t="s">
        <v>358</v>
      </c>
      <c r="C123" s="58" t="s">
        <v>72</v>
      </c>
      <c r="D123" s="60" t="s">
        <v>135</v>
      </c>
      <c r="E123" s="66" t="s">
        <v>135</v>
      </c>
      <c r="F123" s="66" t="s">
        <v>135</v>
      </c>
      <c r="G123" s="66" t="s">
        <v>357</v>
      </c>
      <c r="H123" s="76" t="s">
        <v>135</v>
      </c>
      <c r="I123" s="408"/>
      <c r="J123" s="68"/>
      <c r="K123" s="68"/>
      <c r="L123" s="216">
        <f t="shared" ref="L123:Z124" si="48">L124</f>
        <v>0</v>
      </c>
      <c r="M123" s="216">
        <f t="shared" si="48"/>
        <v>700000</v>
      </c>
      <c r="N123" s="216">
        <f>N124+N126</f>
        <v>14178754</v>
      </c>
      <c r="O123" s="216">
        <f t="shared" ref="O123:Z123" si="49">O124+O126</f>
        <v>2600000</v>
      </c>
      <c r="P123" s="216">
        <f t="shared" si="49"/>
        <v>0</v>
      </c>
      <c r="Q123" s="216">
        <f t="shared" si="49"/>
        <v>0</v>
      </c>
      <c r="R123" s="216">
        <f t="shared" si="49"/>
        <v>14178754</v>
      </c>
      <c r="S123" s="216">
        <f t="shared" si="49"/>
        <v>2600000</v>
      </c>
      <c r="T123" s="216">
        <f t="shared" si="49"/>
        <v>0</v>
      </c>
      <c r="U123" s="216">
        <f t="shared" si="49"/>
        <v>0</v>
      </c>
      <c r="V123" s="216">
        <f t="shared" si="49"/>
        <v>0</v>
      </c>
      <c r="W123" s="216">
        <f t="shared" si="49"/>
        <v>2600000</v>
      </c>
      <c r="X123" s="216">
        <f t="shared" si="49"/>
        <v>0</v>
      </c>
      <c r="Y123" s="215">
        <f t="shared" si="49"/>
        <v>0</v>
      </c>
      <c r="Z123" s="216">
        <f t="shared" si="49"/>
        <v>0</v>
      </c>
    </row>
    <row r="124" spans="1:26" ht="42.75" customHeight="1" x14ac:dyDescent="0.2">
      <c r="A124" s="188"/>
      <c r="B124" s="212" t="s">
        <v>52</v>
      </c>
      <c r="C124" s="58" t="s">
        <v>72</v>
      </c>
      <c r="D124" s="60" t="s">
        <v>135</v>
      </c>
      <c r="E124" s="66" t="s">
        <v>135</v>
      </c>
      <c r="F124" s="66" t="s">
        <v>135</v>
      </c>
      <c r="G124" s="66" t="s">
        <v>357</v>
      </c>
      <c r="H124" s="76" t="s">
        <v>135</v>
      </c>
      <c r="I124" s="372" t="s">
        <v>53</v>
      </c>
      <c r="J124" s="68"/>
      <c r="K124" s="68"/>
      <c r="L124" s="216">
        <f t="shared" si="48"/>
        <v>0</v>
      </c>
      <c r="M124" s="216">
        <f t="shared" si="48"/>
        <v>700000</v>
      </c>
      <c r="N124" s="216">
        <f t="shared" si="48"/>
        <v>14178754</v>
      </c>
      <c r="O124" s="216">
        <f t="shared" si="48"/>
        <v>2600000</v>
      </c>
      <c r="P124" s="216">
        <f t="shared" si="48"/>
        <v>0</v>
      </c>
      <c r="Q124" s="216">
        <f t="shared" si="48"/>
        <v>-4799254</v>
      </c>
      <c r="R124" s="216">
        <f t="shared" si="48"/>
        <v>9379500</v>
      </c>
      <c r="S124" s="216">
        <f t="shared" si="48"/>
        <v>2600000</v>
      </c>
      <c r="T124" s="216">
        <f t="shared" si="48"/>
        <v>0</v>
      </c>
      <c r="U124" s="216">
        <f t="shared" si="48"/>
        <v>0</v>
      </c>
      <c r="V124" s="216">
        <f t="shared" si="48"/>
        <v>0</v>
      </c>
      <c r="W124" s="216">
        <f t="shared" si="48"/>
        <v>2600000</v>
      </c>
      <c r="X124" s="216">
        <f t="shared" si="48"/>
        <v>0</v>
      </c>
      <c r="Y124" s="215">
        <f t="shared" si="48"/>
        <v>0</v>
      </c>
      <c r="Z124" s="216">
        <f t="shared" si="48"/>
        <v>0</v>
      </c>
    </row>
    <row r="125" spans="1:26" ht="42.75" customHeight="1" x14ac:dyDescent="0.2">
      <c r="A125" s="188"/>
      <c r="B125" s="212" t="s">
        <v>54</v>
      </c>
      <c r="C125" s="58" t="s">
        <v>72</v>
      </c>
      <c r="D125" s="60" t="s">
        <v>135</v>
      </c>
      <c r="E125" s="66" t="s">
        <v>135</v>
      </c>
      <c r="F125" s="66" t="s">
        <v>135</v>
      </c>
      <c r="G125" s="66" t="s">
        <v>357</v>
      </c>
      <c r="H125" s="76" t="s">
        <v>135</v>
      </c>
      <c r="I125" s="372" t="s">
        <v>55</v>
      </c>
      <c r="J125" s="68"/>
      <c r="K125" s="68"/>
      <c r="L125" s="216">
        <v>0</v>
      </c>
      <c r="M125" s="216">
        <v>700000</v>
      </c>
      <c r="N125" s="216">
        <v>14178754</v>
      </c>
      <c r="O125" s="216">
        <v>2600000</v>
      </c>
      <c r="P125" s="216">
        <v>0</v>
      </c>
      <c r="Q125" s="216">
        <v>-4799254</v>
      </c>
      <c r="R125" s="216">
        <f>Q125+N125</f>
        <v>9379500</v>
      </c>
      <c r="S125" s="216">
        <v>2600000</v>
      </c>
      <c r="T125" s="216">
        <v>0</v>
      </c>
      <c r="U125" s="216">
        <v>0</v>
      </c>
      <c r="V125" s="216">
        <v>0</v>
      </c>
      <c r="W125" s="216">
        <v>2600000</v>
      </c>
      <c r="X125" s="216">
        <v>0</v>
      </c>
      <c r="Y125" s="215">
        <v>0</v>
      </c>
      <c r="Z125" s="216">
        <v>0</v>
      </c>
    </row>
    <row r="126" spans="1:26" ht="42.75" customHeight="1" x14ac:dyDescent="0.2">
      <c r="A126" s="188"/>
      <c r="B126" s="362" t="s">
        <v>21</v>
      </c>
      <c r="C126" s="58" t="s">
        <v>72</v>
      </c>
      <c r="D126" s="60" t="s">
        <v>135</v>
      </c>
      <c r="E126" s="66" t="s">
        <v>135</v>
      </c>
      <c r="F126" s="66" t="s">
        <v>135</v>
      </c>
      <c r="G126" s="66" t="s">
        <v>357</v>
      </c>
      <c r="H126" s="76" t="s">
        <v>135</v>
      </c>
      <c r="I126" s="372" t="s">
        <v>149</v>
      </c>
      <c r="J126" s="68"/>
      <c r="K126" s="68"/>
      <c r="L126" s="215"/>
      <c r="M126" s="215"/>
      <c r="N126" s="215">
        <f>N127</f>
        <v>0</v>
      </c>
      <c r="O126" s="216"/>
      <c r="P126" s="216"/>
      <c r="Q126" s="215">
        <f>Q127</f>
        <v>4799254</v>
      </c>
      <c r="R126" s="215">
        <f>R127</f>
        <v>4799254</v>
      </c>
      <c r="S126" s="216">
        <f>S127</f>
        <v>0</v>
      </c>
      <c r="T126" s="216"/>
      <c r="U126" s="216"/>
      <c r="V126" s="216">
        <f t="shared" ref="V126:Z126" si="50">V127</f>
        <v>0</v>
      </c>
      <c r="W126" s="216">
        <f t="shared" si="50"/>
        <v>0</v>
      </c>
      <c r="X126" s="216">
        <f t="shared" si="50"/>
        <v>0</v>
      </c>
      <c r="Y126" s="215">
        <f t="shared" si="50"/>
        <v>0</v>
      </c>
      <c r="Z126" s="216">
        <f t="shared" si="50"/>
        <v>0</v>
      </c>
    </row>
    <row r="127" spans="1:26" ht="42.75" customHeight="1" x14ac:dyDescent="0.2">
      <c r="A127" s="188"/>
      <c r="B127" s="362" t="s">
        <v>22</v>
      </c>
      <c r="C127" s="58" t="s">
        <v>72</v>
      </c>
      <c r="D127" s="60" t="s">
        <v>135</v>
      </c>
      <c r="E127" s="66" t="s">
        <v>135</v>
      </c>
      <c r="F127" s="66" t="s">
        <v>135</v>
      </c>
      <c r="G127" s="66" t="s">
        <v>357</v>
      </c>
      <c r="H127" s="76" t="s">
        <v>135</v>
      </c>
      <c r="I127" s="372" t="s">
        <v>23</v>
      </c>
      <c r="J127" s="68"/>
      <c r="K127" s="68"/>
      <c r="L127" s="215"/>
      <c r="M127" s="215"/>
      <c r="N127" s="215">
        <v>0</v>
      </c>
      <c r="O127" s="216"/>
      <c r="P127" s="216"/>
      <c r="Q127" s="215">
        <v>4799254</v>
      </c>
      <c r="R127" s="215">
        <f>Q127</f>
        <v>4799254</v>
      </c>
      <c r="S127" s="216">
        <v>0</v>
      </c>
      <c r="T127" s="216"/>
      <c r="U127" s="216"/>
      <c r="V127" s="216">
        <v>0</v>
      </c>
      <c r="W127" s="216">
        <v>0</v>
      </c>
      <c r="X127" s="216">
        <v>0</v>
      </c>
      <c r="Y127" s="215">
        <v>0</v>
      </c>
      <c r="Z127" s="216">
        <v>0</v>
      </c>
    </row>
    <row r="128" spans="1:26" ht="6.75" customHeight="1" x14ac:dyDescent="0.2">
      <c r="A128" s="188"/>
      <c r="B128" s="259"/>
      <c r="C128" s="128"/>
      <c r="D128" s="261"/>
      <c r="E128" s="88"/>
      <c r="F128" s="88"/>
      <c r="G128" s="88"/>
      <c r="H128" s="262"/>
      <c r="I128" s="263"/>
      <c r="J128" s="118"/>
      <c r="K128" s="209"/>
      <c r="L128" s="264"/>
      <c r="M128" s="264"/>
      <c r="N128" s="264"/>
      <c r="O128" s="265"/>
      <c r="P128" s="265"/>
      <c r="Q128" s="264"/>
      <c r="R128" s="264"/>
      <c r="S128" s="265"/>
      <c r="T128" s="265"/>
      <c r="U128" s="265"/>
      <c r="V128" s="265"/>
      <c r="W128" s="265"/>
      <c r="X128" s="265"/>
      <c r="Y128" s="264"/>
      <c r="Z128" s="265"/>
    </row>
    <row r="129" spans="1:26" ht="12" customHeight="1" x14ac:dyDescent="0.2">
      <c r="A129" s="188"/>
      <c r="B129" s="267"/>
      <c r="C129" s="268"/>
      <c r="D129" s="269"/>
      <c r="E129" s="269"/>
      <c r="F129" s="269"/>
      <c r="G129" s="270"/>
      <c r="H129" s="271"/>
      <c r="I129" s="272"/>
      <c r="J129" s="273"/>
      <c r="K129" s="274"/>
      <c r="L129" s="275"/>
      <c r="M129" s="275"/>
      <c r="N129" s="275"/>
      <c r="O129" s="275"/>
      <c r="P129" s="275"/>
      <c r="Q129" s="275"/>
      <c r="R129" s="275"/>
      <c r="S129" s="275"/>
      <c r="T129" s="275"/>
      <c r="U129" s="275"/>
      <c r="V129" s="275"/>
      <c r="W129" s="275"/>
      <c r="X129" s="275"/>
      <c r="Y129" s="274"/>
      <c r="Z129" s="275"/>
    </row>
    <row r="130" spans="1:26" ht="78.75" x14ac:dyDescent="0.2">
      <c r="A130" s="188"/>
      <c r="B130" s="250" t="s">
        <v>338</v>
      </c>
      <c r="C130" s="199" t="s">
        <v>71</v>
      </c>
      <c r="D130" s="200" t="s">
        <v>135</v>
      </c>
      <c r="E130" s="227" t="s">
        <v>135</v>
      </c>
      <c r="F130" s="227" t="s">
        <v>135</v>
      </c>
      <c r="G130" s="200" t="s">
        <v>136</v>
      </c>
      <c r="H130" s="228" t="s">
        <v>135</v>
      </c>
      <c r="I130" s="219"/>
      <c r="J130" s="195" t="e">
        <f>J131+#REF!+J134</f>
        <v>#REF!</v>
      </c>
      <c r="K130" s="196" t="e">
        <f>K131+#REF!+K134</f>
        <v>#REF!</v>
      </c>
      <c r="L130" s="197">
        <f>L131+L134</f>
        <v>0</v>
      </c>
      <c r="M130" s="197">
        <f>M131+M134</f>
        <v>0</v>
      </c>
      <c r="N130" s="197">
        <f>N131+N134+N137</f>
        <v>3950000</v>
      </c>
      <c r="O130" s="197">
        <f t="shared" ref="O130:Z130" si="51">O131+O134+O137</f>
        <v>22460578.550000001</v>
      </c>
      <c r="P130" s="197">
        <f t="shared" si="51"/>
        <v>0</v>
      </c>
      <c r="Q130" s="197">
        <f t="shared" si="51"/>
        <v>-1457000</v>
      </c>
      <c r="R130" s="197">
        <f t="shared" si="51"/>
        <v>2493000</v>
      </c>
      <c r="S130" s="197">
        <f t="shared" si="51"/>
        <v>20360578.550000001</v>
      </c>
      <c r="T130" s="197">
        <f t="shared" si="51"/>
        <v>10700294.42</v>
      </c>
      <c r="U130" s="197">
        <f t="shared" si="51"/>
        <v>0</v>
      </c>
      <c r="V130" s="197">
        <f t="shared" si="51"/>
        <v>0</v>
      </c>
      <c r="W130" s="197">
        <f t="shared" si="51"/>
        <v>20360578.550000001</v>
      </c>
      <c r="X130" s="197">
        <f t="shared" si="51"/>
        <v>10700294.42</v>
      </c>
      <c r="Y130" s="196">
        <f t="shared" si="51"/>
        <v>0</v>
      </c>
      <c r="Z130" s="197">
        <f t="shared" si="51"/>
        <v>10700294.42</v>
      </c>
    </row>
    <row r="131" spans="1:26" ht="25.5" x14ac:dyDescent="0.2">
      <c r="B131" s="277" t="s">
        <v>176</v>
      </c>
      <c r="C131" s="103" t="s">
        <v>71</v>
      </c>
      <c r="D131" s="60" t="s">
        <v>135</v>
      </c>
      <c r="E131" s="66" t="s">
        <v>135</v>
      </c>
      <c r="F131" s="66" t="s">
        <v>135</v>
      </c>
      <c r="G131" s="66" t="s">
        <v>175</v>
      </c>
      <c r="H131" s="67" t="s">
        <v>135</v>
      </c>
      <c r="I131" s="214"/>
      <c r="J131" s="118">
        <f t="shared" ref="J131:Y132" si="52">J132</f>
        <v>300000</v>
      </c>
      <c r="K131" s="209">
        <f t="shared" si="52"/>
        <v>0</v>
      </c>
      <c r="L131" s="210">
        <f t="shared" si="52"/>
        <v>0</v>
      </c>
      <c r="M131" s="210">
        <f t="shared" si="52"/>
        <v>0</v>
      </c>
      <c r="N131" s="210">
        <f t="shared" si="52"/>
        <v>0</v>
      </c>
      <c r="O131" s="210">
        <f t="shared" si="52"/>
        <v>20360578.550000001</v>
      </c>
      <c r="P131" s="210">
        <f t="shared" si="52"/>
        <v>0</v>
      </c>
      <c r="Q131" s="210">
        <f t="shared" si="52"/>
        <v>0</v>
      </c>
      <c r="R131" s="210">
        <f t="shared" si="52"/>
        <v>0</v>
      </c>
      <c r="S131" s="210">
        <f t="shared" si="52"/>
        <v>20360578.550000001</v>
      </c>
      <c r="T131" s="210">
        <f t="shared" si="52"/>
        <v>9769773.4199999999</v>
      </c>
      <c r="U131" s="210">
        <f t="shared" si="52"/>
        <v>0</v>
      </c>
      <c r="V131" s="210">
        <f t="shared" si="52"/>
        <v>0</v>
      </c>
      <c r="W131" s="210">
        <f t="shared" si="52"/>
        <v>20360578.550000001</v>
      </c>
      <c r="X131" s="210">
        <f t="shared" si="52"/>
        <v>9769773.4199999999</v>
      </c>
      <c r="Y131" s="209">
        <f t="shared" si="52"/>
        <v>0</v>
      </c>
      <c r="Z131" s="210">
        <f>Z132</f>
        <v>9769773.4199999999</v>
      </c>
    </row>
    <row r="132" spans="1:26" ht="25.5" x14ac:dyDescent="0.2">
      <c r="B132" s="207" t="s">
        <v>187</v>
      </c>
      <c r="C132" s="103" t="s">
        <v>71</v>
      </c>
      <c r="D132" s="66" t="s">
        <v>135</v>
      </c>
      <c r="E132" s="66" t="s">
        <v>135</v>
      </c>
      <c r="F132" s="66" t="s">
        <v>135</v>
      </c>
      <c r="G132" s="66" t="s">
        <v>175</v>
      </c>
      <c r="H132" s="67" t="s">
        <v>135</v>
      </c>
      <c r="I132" s="214" t="s">
        <v>160</v>
      </c>
      <c r="J132" s="118">
        <f t="shared" si="52"/>
        <v>300000</v>
      </c>
      <c r="K132" s="209">
        <f t="shared" si="52"/>
        <v>0</v>
      </c>
      <c r="L132" s="248">
        <f t="shared" si="52"/>
        <v>0</v>
      </c>
      <c r="M132" s="248">
        <f t="shared" si="52"/>
        <v>0</v>
      </c>
      <c r="N132" s="248">
        <f t="shared" si="52"/>
        <v>0</v>
      </c>
      <c r="O132" s="248">
        <f t="shared" si="52"/>
        <v>20360578.550000001</v>
      </c>
      <c r="P132" s="248">
        <f t="shared" si="52"/>
        <v>0</v>
      </c>
      <c r="Q132" s="248">
        <f t="shared" si="52"/>
        <v>0</v>
      </c>
      <c r="R132" s="248">
        <f t="shared" si="52"/>
        <v>0</v>
      </c>
      <c r="S132" s="248">
        <f t="shared" si="52"/>
        <v>20360578.550000001</v>
      </c>
      <c r="T132" s="248">
        <f t="shared" si="52"/>
        <v>9769773.4199999999</v>
      </c>
      <c r="U132" s="248">
        <f t="shared" si="52"/>
        <v>0</v>
      </c>
      <c r="V132" s="248">
        <f t="shared" si="52"/>
        <v>0</v>
      </c>
      <c r="W132" s="248">
        <f t="shared" si="52"/>
        <v>20360578.550000001</v>
      </c>
      <c r="X132" s="248">
        <f t="shared" si="52"/>
        <v>9769773.4199999999</v>
      </c>
      <c r="Y132" s="473">
        <f>Y133</f>
        <v>0</v>
      </c>
      <c r="Z132" s="248">
        <f>Z133</f>
        <v>9769773.4199999999</v>
      </c>
    </row>
    <row r="133" spans="1:26" ht="18.75" customHeight="1" x14ac:dyDescent="0.2">
      <c r="B133" s="258" t="s">
        <v>162</v>
      </c>
      <c r="C133" s="103" t="s">
        <v>71</v>
      </c>
      <c r="D133" s="70" t="s">
        <v>135</v>
      </c>
      <c r="E133" s="66" t="s">
        <v>135</v>
      </c>
      <c r="F133" s="66" t="s">
        <v>135</v>
      </c>
      <c r="G133" s="66" t="s">
        <v>175</v>
      </c>
      <c r="H133" s="67" t="s">
        <v>135</v>
      </c>
      <c r="I133" s="214" t="s">
        <v>161</v>
      </c>
      <c r="J133" s="118">
        <v>300000</v>
      </c>
      <c r="K133" s="209">
        <v>0</v>
      </c>
      <c r="L133" s="248">
        <v>0</v>
      </c>
      <c r="M133" s="248">
        <v>0</v>
      </c>
      <c r="N133" s="248">
        <v>0</v>
      </c>
      <c r="O133" s="248">
        <f>1300000+2100000+16960578.55</f>
        <v>20360578.550000001</v>
      </c>
      <c r="P133" s="248">
        <v>0</v>
      </c>
      <c r="Q133" s="248">
        <v>0</v>
      </c>
      <c r="R133" s="248">
        <v>0</v>
      </c>
      <c r="S133" s="248">
        <f>1300000+2100000+16960578.55</f>
        <v>20360578.550000001</v>
      </c>
      <c r="T133" s="248">
        <v>9769773.4199999999</v>
      </c>
      <c r="U133" s="248">
        <v>0</v>
      </c>
      <c r="V133" s="248">
        <v>0</v>
      </c>
      <c r="W133" s="248">
        <f>1300000+2100000+16960578.55</f>
        <v>20360578.550000001</v>
      </c>
      <c r="X133" s="249">
        <v>9769773.4199999999</v>
      </c>
      <c r="Y133" s="473">
        <v>0</v>
      </c>
      <c r="Z133" s="248">
        <v>9769773.4199999999</v>
      </c>
    </row>
    <row r="134" spans="1:26" ht="45.75" customHeight="1" x14ac:dyDescent="0.2">
      <c r="B134" s="207" t="s">
        <v>216</v>
      </c>
      <c r="C134" s="58" t="s">
        <v>71</v>
      </c>
      <c r="D134" s="60" t="s">
        <v>135</v>
      </c>
      <c r="E134" s="66" t="s">
        <v>135</v>
      </c>
      <c r="F134" s="66" t="s">
        <v>135</v>
      </c>
      <c r="G134" s="60" t="s">
        <v>217</v>
      </c>
      <c r="H134" s="67" t="s">
        <v>135</v>
      </c>
      <c r="I134" s="246"/>
      <c r="J134" s="118">
        <f t="shared" ref="J134:Y135" si="53">J135</f>
        <v>0</v>
      </c>
      <c r="K134" s="209">
        <f t="shared" si="53"/>
        <v>0</v>
      </c>
      <c r="L134" s="210">
        <f t="shared" si="53"/>
        <v>0</v>
      </c>
      <c r="M134" s="210">
        <f t="shared" si="53"/>
        <v>0</v>
      </c>
      <c r="N134" s="210">
        <f t="shared" si="53"/>
        <v>0</v>
      </c>
      <c r="O134" s="210">
        <f t="shared" si="53"/>
        <v>0</v>
      </c>
      <c r="P134" s="210">
        <f t="shared" si="53"/>
        <v>0</v>
      </c>
      <c r="Q134" s="210">
        <f t="shared" si="53"/>
        <v>0</v>
      </c>
      <c r="R134" s="210">
        <f t="shared" si="53"/>
        <v>0</v>
      </c>
      <c r="S134" s="210">
        <f t="shared" si="53"/>
        <v>0</v>
      </c>
      <c r="T134" s="210">
        <f t="shared" si="53"/>
        <v>930521</v>
      </c>
      <c r="U134" s="210">
        <f t="shared" si="53"/>
        <v>0</v>
      </c>
      <c r="V134" s="210">
        <f t="shared" si="53"/>
        <v>0</v>
      </c>
      <c r="W134" s="210">
        <f t="shared" si="53"/>
        <v>0</v>
      </c>
      <c r="X134" s="211">
        <f t="shared" si="53"/>
        <v>930521</v>
      </c>
      <c r="Y134" s="209">
        <f t="shared" si="53"/>
        <v>0</v>
      </c>
      <c r="Z134" s="210">
        <f>Z135</f>
        <v>930521</v>
      </c>
    </row>
    <row r="135" spans="1:26" ht="39.75" customHeight="1" x14ac:dyDescent="0.2">
      <c r="B135" s="258" t="s">
        <v>126</v>
      </c>
      <c r="C135" s="58" t="s">
        <v>71</v>
      </c>
      <c r="D135" s="60" t="s">
        <v>135</v>
      </c>
      <c r="E135" s="66" t="s">
        <v>135</v>
      </c>
      <c r="F135" s="66" t="s">
        <v>135</v>
      </c>
      <c r="G135" s="60" t="s">
        <v>217</v>
      </c>
      <c r="H135" s="67" t="s">
        <v>135</v>
      </c>
      <c r="I135" s="246" t="s">
        <v>53</v>
      </c>
      <c r="J135" s="118">
        <f t="shared" si="53"/>
        <v>0</v>
      </c>
      <c r="K135" s="209">
        <f t="shared" si="53"/>
        <v>0</v>
      </c>
      <c r="L135" s="210">
        <f t="shared" si="53"/>
        <v>0</v>
      </c>
      <c r="M135" s="210">
        <f t="shared" si="53"/>
        <v>0</v>
      </c>
      <c r="N135" s="210">
        <f t="shared" si="53"/>
        <v>0</v>
      </c>
      <c r="O135" s="210">
        <f t="shared" si="53"/>
        <v>0</v>
      </c>
      <c r="P135" s="210">
        <f t="shared" si="53"/>
        <v>0</v>
      </c>
      <c r="Q135" s="210">
        <f t="shared" si="53"/>
        <v>0</v>
      </c>
      <c r="R135" s="210">
        <f t="shared" si="53"/>
        <v>0</v>
      </c>
      <c r="S135" s="210">
        <f t="shared" si="53"/>
        <v>0</v>
      </c>
      <c r="T135" s="210">
        <f t="shared" si="53"/>
        <v>930521</v>
      </c>
      <c r="U135" s="210">
        <f t="shared" si="53"/>
        <v>0</v>
      </c>
      <c r="V135" s="210">
        <f t="shared" si="53"/>
        <v>0</v>
      </c>
      <c r="W135" s="210">
        <f t="shared" si="53"/>
        <v>0</v>
      </c>
      <c r="X135" s="211">
        <f t="shared" si="53"/>
        <v>930521</v>
      </c>
      <c r="Y135" s="209">
        <f>Y136</f>
        <v>0</v>
      </c>
      <c r="Z135" s="210">
        <f>Z136</f>
        <v>930521</v>
      </c>
    </row>
    <row r="136" spans="1:26" ht="36" customHeight="1" x14ac:dyDescent="0.2">
      <c r="B136" s="258" t="s">
        <v>54</v>
      </c>
      <c r="C136" s="58" t="s">
        <v>71</v>
      </c>
      <c r="D136" s="60" t="s">
        <v>135</v>
      </c>
      <c r="E136" s="66" t="s">
        <v>135</v>
      </c>
      <c r="F136" s="66" t="s">
        <v>135</v>
      </c>
      <c r="G136" s="60" t="s">
        <v>217</v>
      </c>
      <c r="H136" s="67" t="s">
        <v>135</v>
      </c>
      <c r="I136" s="246" t="s">
        <v>55</v>
      </c>
      <c r="J136" s="118">
        <v>0</v>
      </c>
      <c r="K136" s="209">
        <v>0</v>
      </c>
      <c r="L136" s="248">
        <v>0</v>
      </c>
      <c r="M136" s="248">
        <v>0</v>
      </c>
      <c r="N136" s="248">
        <v>0</v>
      </c>
      <c r="O136" s="463">
        <v>0</v>
      </c>
      <c r="P136" s="463">
        <v>0</v>
      </c>
      <c r="Q136" s="248">
        <v>0</v>
      </c>
      <c r="R136" s="248">
        <v>0</v>
      </c>
      <c r="S136" s="463">
        <v>0</v>
      </c>
      <c r="T136" s="446">
        <v>930521</v>
      </c>
      <c r="U136" s="446">
        <v>0</v>
      </c>
      <c r="V136" s="463">
        <v>0</v>
      </c>
      <c r="W136" s="463">
        <v>0</v>
      </c>
      <c r="X136" s="249">
        <v>930521</v>
      </c>
      <c r="Y136" s="473">
        <v>0</v>
      </c>
      <c r="Z136" s="248">
        <v>930521</v>
      </c>
    </row>
    <row r="137" spans="1:26" ht="45.75" customHeight="1" x14ac:dyDescent="0.2">
      <c r="B137" s="277" t="s">
        <v>347</v>
      </c>
      <c r="C137" s="103" t="s">
        <v>71</v>
      </c>
      <c r="D137" s="60" t="s">
        <v>135</v>
      </c>
      <c r="E137" s="66" t="s">
        <v>135</v>
      </c>
      <c r="F137" s="66" t="s">
        <v>135</v>
      </c>
      <c r="G137" s="66" t="s">
        <v>389</v>
      </c>
      <c r="H137" s="67" t="s">
        <v>135</v>
      </c>
      <c r="I137" s="214"/>
      <c r="J137" s="101"/>
      <c r="K137" s="102"/>
      <c r="L137" s="248">
        <f>L140</f>
        <v>0</v>
      </c>
      <c r="M137" s="248">
        <f>M140</f>
        <v>0</v>
      </c>
      <c r="N137" s="248">
        <f>N140+N138</f>
        <v>3950000</v>
      </c>
      <c r="O137" s="248">
        <f t="shared" ref="O137:Z137" si="54">O140+O138</f>
        <v>2100000</v>
      </c>
      <c r="P137" s="248">
        <f t="shared" si="54"/>
        <v>0</v>
      </c>
      <c r="Q137" s="248">
        <f t="shared" si="54"/>
        <v>-1457000</v>
      </c>
      <c r="R137" s="248">
        <f>R140+R138</f>
        <v>2493000</v>
      </c>
      <c r="S137" s="248">
        <f t="shared" si="54"/>
        <v>0</v>
      </c>
      <c r="T137" s="248">
        <f t="shared" si="54"/>
        <v>0</v>
      </c>
      <c r="U137" s="248">
        <f t="shared" si="54"/>
        <v>0</v>
      </c>
      <c r="V137" s="248">
        <f t="shared" si="54"/>
        <v>0</v>
      </c>
      <c r="W137" s="248">
        <f t="shared" si="54"/>
        <v>0</v>
      </c>
      <c r="X137" s="248">
        <f t="shared" si="54"/>
        <v>0</v>
      </c>
      <c r="Y137" s="473">
        <f t="shared" si="54"/>
        <v>0</v>
      </c>
      <c r="Z137" s="248">
        <f t="shared" si="54"/>
        <v>0</v>
      </c>
    </row>
    <row r="138" spans="1:26" ht="36" customHeight="1" x14ac:dyDescent="0.2">
      <c r="B138" s="258" t="s">
        <v>126</v>
      </c>
      <c r="C138" s="103" t="s">
        <v>71</v>
      </c>
      <c r="D138" s="60" t="s">
        <v>135</v>
      </c>
      <c r="E138" s="66" t="s">
        <v>135</v>
      </c>
      <c r="F138" s="66" t="s">
        <v>135</v>
      </c>
      <c r="G138" s="66" t="s">
        <v>389</v>
      </c>
      <c r="H138" s="67" t="s">
        <v>135</v>
      </c>
      <c r="I138" s="214" t="s">
        <v>53</v>
      </c>
      <c r="J138" s="101"/>
      <c r="K138" s="102"/>
      <c r="L138" s="248"/>
      <c r="M138" s="248"/>
      <c r="N138" s="248">
        <f>N139</f>
        <v>0</v>
      </c>
      <c r="O138" s="473"/>
      <c r="P138" s="248"/>
      <c r="Q138" s="248">
        <f>Q139</f>
        <v>493000</v>
      </c>
      <c r="R138" s="248">
        <f>R139</f>
        <v>493000</v>
      </c>
      <c r="S138" s="249">
        <f>S139</f>
        <v>0</v>
      </c>
      <c r="T138" s="445"/>
      <c r="U138" s="101"/>
      <c r="V138" s="249">
        <f t="shared" ref="V138:Z138" si="55">V139</f>
        <v>0</v>
      </c>
      <c r="W138" s="249">
        <f t="shared" si="55"/>
        <v>0</v>
      </c>
      <c r="X138" s="249">
        <f t="shared" si="55"/>
        <v>0</v>
      </c>
      <c r="Y138" s="101">
        <f t="shared" si="55"/>
        <v>0</v>
      </c>
      <c r="Z138" s="248">
        <f t="shared" si="55"/>
        <v>0</v>
      </c>
    </row>
    <row r="139" spans="1:26" ht="36" customHeight="1" x14ac:dyDescent="0.2">
      <c r="B139" s="258" t="s">
        <v>54</v>
      </c>
      <c r="C139" s="103" t="s">
        <v>71</v>
      </c>
      <c r="D139" s="60" t="s">
        <v>135</v>
      </c>
      <c r="E139" s="66" t="s">
        <v>135</v>
      </c>
      <c r="F139" s="66" t="s">
        <v>135</v>
      </c>
      <c r="G139" s="66" t="s">
        <v>389</v>
      </c>
      <c r="H139" s="67" t="s">
        <v>135</v>
      </c>
      <c r="I139" s="214" t="s">
        <v>55</v>
      </c>
      <c r="J139" s="101"/>
      <c r="K139" s="102"/>
      <c r="L139" s="248"/>
      <c r="M139" s="248"/>
      <c r="N139" s="248">
        <v>0</v>
      </c>
      <c r="O139" s="473"/>
      <c r="P139" s="248"/>
      <c r="Q139" s="248">
        <v>493000</v>
      </c>
      <c r="R139" s="248">
        <f>Q139</f>
        <v>493000</v>
      </c>
      <c r="S139" s="249">
        <v>0</v>
      </c>
      <c r="T139" s="445"/>
      <c r="U139" s="101"/>
      <c r="V139" s="249">
        <v>0</v>
      </c>
      <c r="W139" s="249">
        <v>0</v>
      </c>
      <c r="X139" s="249">
        <v>0</v>
      </c>
      <c r="Y139" s="101">
        <v>0</v>
      </c>
      <c r="Z139" s="248">
        <v>0</v>
      </c>
    </row>
    <row r="140" spans="1:26" ht="36" customHeight="1" x14ac:dyDescent="0.2">
      <c r="B140" s="207" t="s">
        <v>187</v>
      </c>
      <c r="C140" s="103" t="s">
        <v>71</v>
      </c>
      <c r="D140" s="66" t="s">
        <v>135</v>
      </c>
      <c r="E140" s="66" t="s">
        <v>135</v>
      </c>
      <c r="F140" s="66" t="s">
        <v>135</v>
      </c>
      <c r="G140" s="66" t="s">
        <v>389</v>
      </c>
      <c r="H140" s="67" t="s">
        <v>135</v>
      </c>
      <c r="I140" s="214" t="s">
        <v>160</v>
      </c>
      <c r="J140" s="101"/>
      <c r="K140" s="102"/>
      <c r="L140" s="248">
        <f t="shared" ref="L140:Z140" si="56">L141</f>
        <v>0</v>
      </c>
      <c r="M140" s="248">
        <f t="shared" si="56"/>
        <v>0</v>
      </c>
      <c r="N140" s="248">
        <f t="shared" si="56"/>
        <v>3950000</v>
      </c>
      <c r="O140" s="473">
        <f t="shared" si="56"/>
        <v>2100000</v>
      </c>
      <c r="P140" s="248">
        <f t="shared" si="56"/>
        <v>0</v>
      </c>
      <c r="Q140" s="248">
        <f t="shared" si="56"/>
        <v>-1950000</v>
      </c>
      <c r="R140" s="248">
        <f t="shared" si="56"/>
        <v>2000000</v>
      </c>
      <c r="S140" s="249">
        <f t="shared" si="56"/>
        <v>0</v>
      </c>
      <c r="T140" s="445">
        <f t="shared" si="56"/>
        <v>0</v>
      </c>
      <c r="U140" s="101">
        <f t="shared" si="56"/>
        <v>0</v>
      </c>
      <c r="V140" s="248">
        <f t="shared" si="56"/>
        <v>0</v>
      </c>
      <c r="W140" s="248">
        <f t="shared" si="56"/>
        <v>0</v>
      </c>
      <c r="X140" s="249">
        <f t="shared" si="56"/>
        <v>0</v>
      </c>
      <c r="Y140" s="101">
        <f t="shared" si="56"/>
        <v>0</v>
      </c>
      <c r="Z140" s="248">
        <f t="shared" si="56"/>
        <v>0</v>
      </c>
    </row>
    <row r="141" spans="1:26" ht="36" customHeight="1" x14ac:dyDescent="0.2">
      <c r="B141" s="258" t="s">
        <v>162</v>
      </c>
      <c r="C141" s="103" t="s">
        <v>71</v>
      </c>
      <c r="D141" s="70" t="s">
        <v>135</v>
      </c>
      <c r="E141" s="66" t="s">
        <v>135</v>
      </c>
      <c r="F141" s="66" t="s">
        <v>135</v>
      </c>
      <c r="G141" s="66" t="s">
        <v>389</v>
      </c>
      <c r="H141" s="67" t="s">
        <v>135</v>
      </c>
      <c r="I141" s="214" t="s">
        <v>161</v>
      </c>
      <c r="J141" s="101"/>
      <c r="K141" s="102"/>
      <c r="L141" s="248">
        <v>0</v>
      </c>
      <c r="M141" s="248">
        <v>0</v>
      </c>
      <c r="N141" s="248">
        <v>3950000</v>
      </c>
      <c r="O141" s="473">
        <v>2100000</v>
      </c>
      <c r="P141" s="248">
        <v>0</v>
      </c>
      <c r="Q141" s="248">
        <v>-1950000</v>
      </c>
      <c r="R141" s="248">
        <f>Q141+N141</f>
        <v>2000000</v>
      </c>
      <c r="S141" s="249">
        <v>0</v>
      </c>
      <c r="T141" s="445">
        <v>0</v>
      </c>
      <c r="U141" s="101">
        <v>0</v>
      </c>
      <c r="V141" s="248">
        <v>0</v>
      </c>
      <c r="W141" s="249">
        <v>0</v>
      </c>
      <c r="X141" s="249">
        <v>0</v>
      </c>
      <c r="Y141" s="101">
        <v>0</v>
      </c>
      <c r="Z141" s="248">
        <v>0</v>
      </c>
    </row>
    <row r="142" spans="1:26" s="206" customFormat="1" ht="63" x14ac:dyDescent="0.25">
      <c r="A142" s="278"/>
      <c r="B142" s="467" t="s">
        <v>329</v>
      </c>
      <c r="C142" s="251" t="s">
        <v>73</v>
      </c>
      <c r="D142" s="252" t="s">
        <v>135</v>
      </c>
      <c r="E142" s="253" t="s">
        <v>135</v>
      </c>
      <c r="F142" s="253" t="s">
        <v>135</v>
      </c>
      <c r="G142" s="252" t="s">
        <v>136</v>
      </c>
      <c r="H142" s="241" t="s">
        <v>135</v>
      </c>
      <c r="I142" s="279"/>
      <c r="J142" s="254" t="e">
        <f>#REF!+J143+#REF!</f>
        <v>#REF!</v>
      </c>
      <c r="K142" s="255" t="e">
        <f>#REF!+K143+#REF!</f>
        <v>#REF!</v>
      </c>
      <c r="L142" s="256">
        <f>L143+L146</f>
        <v>0</v>
      </c>
      <c r="M142" s="256">
        <f>M143+M146</f>
        <v>0</v>
      </c>
      <c r="N142" s="256">
        <f>N143+N146+N149</f>
        <v>0</v>
      </c>
      <c r="O142" s="256">
        <f t="shared" ref="O142:Z142" si="57">O143+O146+O149</f>
        <v>5075010.8599999994</v>
      </c>
      <c r="P142" s="256">
        <f t="shared" si="57"/>
        <v>0</v>
      </c>
      <c r="Q142" s="256">
        <f t="shared" si="57"/>
        <v>0</v>
      </c>
      <c r="R142" s="256">
        <f t="shared" si="57"/>
        <v>0</v>
      </c>
      <c r="S142" s="256">
        <f t="shared" si="57"/>
        <v>31035213.27</v>
      </c>
      <c r="T142" s="256">
        <f t="shared" si="57"/>
        <v>708123.56</v>
      </c>
      <c r="U142" s="256">
        <f t="shared" si="57"/>
        <v>0</v>
      </c>
      <c r="V142" s="256">
        <f t="shared" si="57"/>
        <v>34747</v>
      </c>
      <c r="W142" s="256">
        <f t="shared" si="57"/>
        <v>31069960.27</v>
      </c>
      <c r="X142" s="256">
        <f t="shared" si="57"/>
        <v>28728352.07</v>
      </c>
      <c r="Y142" s="255">
        <f t="shared" si="57"/>
        <v>34747</v>
      </c>
      <c r="Z142" s="256">
        <f t="shared" si="57"/>
        <v>28763099.07</v>
      </c>
    </row>
    <row r="143" spans="1:26" s="206" customFormat="1" x14ac:dyDescent="0.2">
      <c r="A143" s="278"/>
      <c r="B143" s="207" t="s">
        <v>185</v>
      </c>
      <c r="C143" s="103" t="s">
        <v>73</v>
      </c>
      <c r="D143" s="66" t="s">
        <v>135</v>
      </c>
      <c r="E143" s="66" t="s">
        <v>135</v>
      </c>
      <c r="F143" s="66" t="s">
        <v>135</v>
      </c>
      <c r="G143" s="139">
        <v>8040</v>
      </c>
      <c r="H143" s="67" t="s">
        <v>135</v>
      </c>
      <c r="I143" s="214"/>
      <c r="J143" s="118">
        <f t="shared" ref="J143:Y144" si="58">J144</f>
        <v>100000</v>
      </c>
      <c r="K143" s="209">
        <f t="shared" si="58"/>
        <v>0</v>
      </c>
      <c r="L143" s="210">
        <f t="shared" si="58"/>
        <v>0</v>
      </c>
      <c r="M143" s="210">
        <f t="shared" si="58"/>
        <v>0</v>
      </c>
      <c r="N143" s="210">
        <f t="shared" si="58"/>
        <v>0</v>
      </c>
      <c r="O143" s="210">
        <f t="shared" si="58"/>
        <v>453374.86</v>
      </c>
      <c r="P143" s="210">
        <f t="shared" si="58"/>
        <v>0</v>
      </c>
      <c r="Q143" s="210">
        <f t="shared" si="58"/>
        <v>0</v>
      </c>
      <c r="R143" s="210">
        <f t="shared" si="58"/>
        <v>0</v>
      </c>
      <c r="S143" s="210">
        <f t="shared" si="58"/>
        <v>453374.86</v>
      </c>
      <c r="T143" s="210">
        <f t="shared" si="58"/>
        <v>206487.56</v>
      </c>
      <c r="U143" s="210">
        <f t="shared" si="58"/>
        <v>0</v>
      </c>
      <c r="V143" s="210">
        <f t="shared" si="58"/>
        <v>0</v>
      </c>
      <c r="W143" s="210">
        <f t="shared" si="58"/>
        <v>453374.86</v>
      </c>
      <c r="X143" s="210">
        <f t="shared" si="58"/>
        <v>206487.56</v>
      </c>
      <c r="Y143" s="209">
        <f t="shared" si="58"/>
        <v>0</v>
      </c>
      <c r="Z143" s="210">
        <f>Z144</f>
        <v>206487.56</v>
      </c>
    </row>
    <row r="144" spans="1:26" s="206" customFormat="1" ht="25.5" x14ac:dyDescent="0.2">
      <c r="A144" s="278"/>
      <c r="B144" s="212" t="s">
        <v>52</v>
      </c>
      <c r="C144" s="105" t="s">
        <v>73</v>
      </c>
      <c r="D144" s="70" t="s">
        <v>135</v>
      </c>
      <c r="E144" s="66" t="s">
        <v>135</v>
      </c>
      <c r="F144" s="66" t="s">
        <v>135</v>
      </c>
      <c r="G144" s="139">
        <v>8040</v>
      </c>
      <c r="H144" s="67" t="s">
        <v>135</v>
      </c>
      <c r="I144" s="208" t="s">
        <v>53</v>
      </c>
      <c r="J144" s="118">
        <f t="shared" si="58"/>
        <v>100000</v>
      </c>
      <c r="K144" s="209">
        <f t="shared" si="58"/>
        <v>0</v>
      </c>
      <c r="L144" s="216">
        <f>L145</f>
        <v>0</v>
      </c>
      <c r="M144" s="216">
        <f>M145</f>
        <v>0</v>
      </c>
      <c r="N144" s="216">
        <f>N145</f>
        <v>0</v>
      </c>
      <c r="O144" s="216">
        <f t="shared" si="58"/>
        <v>453374.86</v>
      </c>
      <c r="P144" s="216">
        <f t="shared" si="58"/>
        <v>0</v>
      </c>
      <c r="Q144" s="216">
        <f>Q145</f>
        <v>0</v>
      </c>
      <c r="R144" s="216">
        <f>R145</f>
        <v>0</v>
      </c>
      <c r="S144" s="216">
        <f t="shared" si="58"/>
        <v>453374.86</v>
      </c>
      <c r="T144" s="216">
        <f t="shared" si="58"/>
        <v>206487.56</v>
      </c>
      <c r="U144" s="216">
        <f t="shared" si="58"/>
        <v>0</v>
      </c>
      <c r="V144" s="216">
        <f t="shared" si="58"/>
        <v>0</v>
      </c>
      <c r="W144" s="216">
        <f t="shared" si="58"/>
        <v>453374.86</v>
      </c>
      <c r="X144" s="216">
        <f t="shared" si="58"/>
        <v>206487.56</v>
      </c>
      <c r="Y144" s="215">
        <f>Y145</f>
        <v>0</v>
      </c>
      <c r="Z144" s="216">
        <f>Z145</f>
        <v>206487.56</v>
      </c>
    </row>
    <row r="145" spans="1:26" s="206" customFormat="1" ht="25.5" x14ac:dyDescent="0.2">
      <c r="A145" s="278"/>
      <c r="B145" s="212" t="s">
        <v>54</v>
      </c>
      <c r="C145" s="105" t="s">
        <v>73</v>
      </c>
      <c r="D145" s="70" t="s">
        <v>135</v>
      </c>
      <c r="E145" s="66" t="s">
        <v>135</v>
      </c>
      <c r="F145" s="66" t="s">
        <v>135</v>
      </c>
      <c r="G145" s="139">
        <v>8040</v>
      </c>
      <c r="H145" s="67" t="s">
        <v>135</v>
      </c>
      <c r="I145" s="208" t="s">
        <v>55</v>
      </c>
      <c r="J145" s="118">
        <v>100000</v>
      </c>
      <c r="K145" s="209">
        <v>0</v>
      </c>
      <c r="L145" s="216">
        <v>0</v>
      </c>
      <c r="M145" s="216">
        <v>0</v>
      </c>
      <c r="N145" s="216">
        <v>0</v>
      </c>
      <c r="O145" s="216">
        <v>453374.86</v>
      </c>
      <c r="P145" s="216">
        <v>0</v>
      </c>
      <c r="Q145" s="216">
        <v>0</v>
      </c>
      <c r="R145" s="216">
        <v>0</v>
      </c>
      <c r="S145" s="216">
        <v>453374.86</v>
      </c>
      <c r="T145" s="216">
        <v>206487.56</v>
      </c>
      <c r="U145" s="216">
        <v>0</v>
      </c>
      <c r="V145" s="216">
        <v>0</v>
      </c>
      <c r="W145" s="216">
        <v>453374.86</v>
      </c>
      <c r="X145" s="216">
        <v>206487.56</v>
      </c>
      <c r="Y145" s="215">
        <v>0</v>
      </c>
      <c r="Z145" s="216">
        <v>206487.56</v>
      </c>
    </row>
    <row r="146" spans="1:26" s="206" customFormat="1" x14ac:dyDescent="0.2">
      <c r="A146" s="278"/>
      <c r="B146" s="207" t="s">
        <v>172</v>
      </c>
      <c r="C146" s="103" t="s">
        <v>73</v>
      </c>
      <c r="D146" s="66" t="s">
        <v>135</v>
      </c>
      <c r="E146" s="66" t="s">
        <v>135</v>
      </c>
      <c r="F146" s="66" t="s">
        <v>135</v>
      </c>
      <c r="G146" s="139">
        <v>8018</v>
      </c>
      <c r="H146" s="67" t="s">
        <v>135</v>
      </c>
      <c r="I146" s="214"/>
      <c r="J146" s="68"/>
      <c r="K146" s="69"/>
      <c r="L146" s="216">
        <f t="shared" ref="L146:Z147" si="59">L147</f>
        <v>0</v>
      </c>
      <c r="M146" s="216">
        <f t="shared" si="59"/>
        <v>0</v>
      </c>
      <c r="N146" s="216">
        <f t="shared" si="59"/>
        <v>0</v>
      </c>
      <c r="O146" s="216">
        <f t="shared" si="59"/>
        <v>2310818</v>
      </c>
      <c r="P146" s="216">
        <f t="shared" si="59"/>
        <v>0</v>
      </c>
      <c r="Q146" s="216">
        <f t="shared" si="59"/>
        <v>0</v>
      </c>
      <c r="R146" s="216">
        <f t="shared" si="59"/>
        <v>0</v>
      </c>
      <c r="S146" s="216">
        <f t="shared" si="59"/>
        <v>2310818</v>
      </c>
      <c r="T146" s="216">
        <f t="shared" si="59"/>
        <v>250818</v>
      </c>
      <c r="U146" s="216">
        <f t="shared" si="59"/>
        <v>0</v>
      </c>
      <c r="V146" s="216">
        <f t="shared" si="59"/>
        <v>-250818</v>
      </c>
      <c r="W146" s="216">
        <f t="shared" si="59"/>
        <v>2060000</v>
      </c>
      <c r="X146" s="216">
        <f t="shared" si="59"/>
        <v>250818</v>
      </c>
      <c r="Y146" s="215">
        <f t="shared" si="59"/>
        <v>-250818</v>
      </c>
      <c r="Z146" s="216">
        <f t="shared" si="59"/>
        <v>0</v>
      </c>
    </row>
    <row r="147" spans="1:26" s="206" customFormat="1" ht="25.5" x14ac:dyDescent="0.2">
      <c r="A147" s="278"/>
      <c r="B147" s="212" t="s">
        <v>52</v>
      </c>
      <c r="C147" s="105" t="s">
        <v>73</v>
      </c>
      <c r="D147" s="70" t="s">
        <v>135</v>
      </c>
      <c r="E147" s="66" t="s">
        <v>135</v>
      </c>
      <c r="F147" s="66" t="s">
        <v>135</v>
      </c>
      <c r="G147" s="139">
        <v>8018</v>
      </c>
      <c r="H147" s="67" t="s">
        <v>135</v>
      </c>
      <c r="I147" s="208" t="s">
        <v>53</v>
      </c>
      <c r="J147" s="68"/>
      <c r="K147" s="69"/>
      <c r="L147" s="216">
        <f t="shared" si="59"/>
        <v>0</v>
      </c>
      <c r="M147" s="216">
        <f t="shared" si="59"/>
        <v>0</v>
      </c>
      <c r="N147" s="216">
        <f t="shared" si="59"/>
        <v>0</v>
      </c>
      <c r="O147" s="216">
        <f t="shared" si="59"/>
        <v>2310818</v>
      </c>
      <c r="P147" s="216">
        <f t="shared" si="59"/>
        <v>0</v>
      </c>
      <c r="Q147" s="216">
        <f t="shared" si="59"/>
        <v>0</v>
      </c>
      <c r="R147" s="216">
        <f t="shared" si="59"/>
        <v>0</v>
      </c>
      <c r="S147" s="216">
        <f t="shared" si="59"/>
        <v>2310818</v>
      </c>
      <c r="T147" s="216">
        <f t="shared" si="59"/>
        <v>250818</v>
      </c>
      <c r="U147" s="216">
        <f t="shared" si="59"/>
        <v>0</v>
      </c>
      <c r="V147" s="216">
        <f t="shared" si="59"/>
        <v>-250818</v>
      </c>
      <c r="W147" s="216">
        <f t="shared" si="59"/>
        <v>2060000</v>
      </c>
      <c r="X147" s="216">
        <f t="shared" si="59"/>
        <v>250818</v>
      </c>
      <c r="Y147" s="215">
        <f t="shared" si="59"/>
        <v>-250818</v>
      </c>
      <c r="Z147" s="216">
        <f t="shared" si="59"/>
        <v>0</v>
      </c>
    </row>
    <row r="148" spans="1:26" s="206" customFormat="1" ht="25.5" x14ac:dyDescent="0.2">
      <c r="A148" s="278"/>
      <c r="B148" s="212" t="s">
        <v>54</v>
      </c>
      <c r="C148" s="105" t="s">
        <v>73</v>
      </c>
      <c r="D148" s="70" t="s">
        <v>135</v>
      </c>
      <c r="E148" s="66" t="s">
        <v>135</v>
      </c>
      <c r="F148" s="66" t="s">
        <v>135</v>
      </c>
      <c r="G148" s="139">
        <v>8018</v>
      </c>
      <c r="H148" s="67" t="s">
        <v>135</v>
      </c>
      <c r="I148" s="208" t="s">
        <v>55</v>
      </c>
      <c r="J148" s="68"/>
      <c r="K148" s="69"/>
      <c r="L148" s="216">
        <v>0</v>
      </c>
      <c r="M148" s="216">
        <v>0</v>
      </c>
      <c r="N148" s="216">
        <v>0</v>
      </c>
      <c r="O148" s="216">
        <f>550000+1350000+410818</f>
        <v>2310818</v>
      </c>
      <c r="P148" s="216">
        <v>0</v>
      </c>
      <c r="Q148" s="216">
        <v>0</v>
      </c>
      <c r="R148" s="216">
        <v>0</v>
      </c>
      <c r="S148" s="216">
        <f>550000+1350000+410818</f>
        <v>2310818</v>
      </c>
      <c r="T148" s="216">
        <v>250818</v>
      </c>
      <c r="U148" s="216">
        <v>0</v>
      </c>
      <c r="V148" s="216">
        <v>-250818</v>
      </c>
      <c r="W148" s="216">
        <f>S148+V148</f>
        <v>2060000</v>
      </c>
      <c r="X148" s="216">
        <v>250818</v>
      </c>
      <c r="Y148" s="215">
        <v>-250818</v>
      </c>
      <c r="Z148" s="216">
        <f>Y148+X148</f>
        <v>0</v>
      </c>
    </row>
    <row r="149" spans="1:26" s="206" customFormat="1" ht="45" customHeight="1" x14ac:dyDescent="0.2">
      <c r="A149" s="278"/>
      <c r="B149" s="212" t="s">
        <v>409</v>
      </c>
      <c r="C149" s="103" t="s">
        <v>73</v>
      </c>
      <c r="D149" s="66" t="s">
        <v>135</v>
      </c>
      <c r="E149" s="66" t="s">
        <v>135</v>
      </c>
      <c r="F149" s="66" t="s">
        <v>135</v>
      </c>
      <c r="G149" s="66" t="s">
        <v>211</v>
      </c>
      <c r="H149" s="67" t="s">
        <v>397</v>
      </c>
      <c r="I149" s="309"/>
      <c r="J149" s="68"/>
      <c r="K149" s="69"/>
      <c r="L149" s="216">
        <f t="shared" ref="L149:Z150" si="60">L150</f>
        <v>0</v>
      </c>
      <c r="M149" s="216">
        <f t="shared" si="60"/>
        <v>0</v>
      </c>
      <c r="N149" s="216">
        <f t="shared" si="60"/>
        <v>0</v>
      </c>
      <c r="O149" s="215">
        <f t="shared" si="60"/>
        <v>2310818</v>
      </c>
      <c r="P149" s="216">
        <f t="shared" si="60"/>
        <v>0</v>
      </c>
      <c r="Q149" s="216">
        <f t="shared" si="60"/>
        <v>0</v>
      </c>
      <c r="R149" s="216">
        <f t="shared" si="60"/>
        <v>0</v>
      </c>
      <c r="S149" s="217">
        <f t="shared" si="60"/>
        <v>28271020.41</v>
      </c>
      <c r="T149" s="216">
        <f t="shared" si="60"/>
        <v>250818</v>
      </c>
      <c r="U149" s="215">
        <f t="shared" si="60"/>
        <v>0</v>
      </c>
      <c r="V149" s="216">
        <f t="shared" si="60"/>
        <v>285565</v>
      </c>
      <c r="W149" s="217">
        <f t="shared" si="60"/>
        <v>28556585.41</v>
      </c>
      <c r="X149" s="216">
        <f t="shared" si="60"/>
        <v>28271046.510000002</v>
      </c>
      <c r="Y149" s="215">
        <f t="shared" si="60"/>
        <v>285565</v>
      </c>
      <c r="Z149" s="216">
        <f t="shared" si="60"/>
        <v>28556611.510000002</v>
      </c>
    </row>
    <row r="150" spans="1:26" s="206" customFormat="1" ht="25.5" x14ac:dyDescent="0.2">
      <c r="A150" s="278"/>
      <c r="B150" s="212" t="s">
        <v>52</v>
      </c>
      <c r="C150" s="105" t="s">
        <v>73</v>
      </c>
      <c r="D150" s="70" t="s">
        <v>135</v>
      </c>
      <c r="E150" s="66" t="s">
        <v>135</v>
      </c>
      <c r="F150" s="66" t="s">
        <v>135</v>
      </c>
      <c r="G150" s="66" t="s">
        <v>211</v>
      </c>
      <c r="H150" s="67" t="s">
        <v>397</v>
      </c>
      <c r="I150" s="372" t="s">
        <v>53</v>
      </c>
      <c r="J150" s="68"/>
      <c r="K150" s="69"/>
      <c r="L150" s="216">
        <f t="shared" si="60"/>
        <v>0</v>
      </c>
      <c r="M150" s="216">
        <f t="shared" si="60"/>
        <v>0</v>
      </c>
      <c r="N150" s="216">
        <f t="shared" si="60"/>
        <v>0</v>
      </c>
      <c r="O150" s="215">
        <f t="shared" si="60"/>
        <v>2310818</v>
      </c>
      <c r="P150" s="216">
        <f t="shared" si="60"/>
        <v>0</v>
      </c>
      <c r="Q150" s="216">
        <f t="shared" si="60"/>
        <v>0</v>
      </c>
      <c r="R150" s="216">
        <f t="shared" si="60"/>
        <v>0</v>
      </c>
      <c r="S150" s="217">
        <f t="shared" si="60"/>
        <v>28271020.41</v>
      </c>
      <c r="T150" s="216">
        <f t="shared" si="60"/>
        <v>250818</v>
      </c>
      <c r="U150" s="215">
        <f t="shared" si="60"/>
        <v>0</v>
      </c>
      <c r="V150" s="216">
        <f t="shared" si="60"/>
        <v>285565</v>
      </c>
      <c r="W150" s="217">
        <f t="shared" si="60"/>
        <v>28556585.41</v>
      </c>
      <c r="X150" s="216">
        <f t="shared" si="60"/>
        <v>28271046.510000002</v>
      </c>
      <c r="Y150" s="215">
        <f t="shared" si="60"/>
        <v>285565</v>
      </c>
      <c r="Z150" s="216">
        <f t="shared" si="60"/>
        <v>28556611.510000002</v>
      </c>
    </row>
    <row r="151" spans="1:26" s="206" customFormat="1" ht="25.5" x14ac:dyDescent="0.2">
      <c r="A151" s="278"/>
      <c r="B151" s="212" t="s">
        <v>54</v>
      </c>
      <c r="C151" s="105" t="s">
        <v>73</v>
      </c>
      <c r="D151" s="70" t="s">
        <v>135</v>
      </c>
      <c r="E151" s="66" t="s">
        <v>135</v>
      </c>
      <c r="F151" s="66" t="s">
        <v>135</v>
      </c>
      <c r="G151" s="66" t="s">
        <v>211</v>
      </c>
      <c r="H151" s="67" t="s">
        <v>397</v>
      </c>
      <c r="I151" s="372" t="s">
        <v>55</v>
      </c>
      <c r="J151" s="68"/>
      <c r="K151" s="69"/>
      <c r="L151" s="216">
        <v>0</v>
      </c>
      <c r="M151" s="216">
        <v>0</v>
      </c>
      <c r="N151" s="216">
        <v>0</v>
      </c>
      <c r="O151" s="215">
        <f>550000+1350000+410818</f>
        <v>2310818</v>
      </c>
      <c r="P151" s="216">
        <v>0</v>
      </c>
      <c r="Q151" s="216">
        <v>0</v>
      </c>
      <c r="R151" s="216">
        <v>0</v>
      </c>
      <c r="S151" s="217">
        <v>28271020.41</v>
      </c>
      <c r="T151" s="216">
        <v>250818</v>
      </c>
      <c r="U151" s="215">
        <v>0</v>
      </c>
      <c r="V151" s="216">
        <f>250818+34747</f>
        <v>285565</v>
      </c>
      <c r="W151" s="217">
        <f>V151+S151</f>
        <v>28556585.41</v>
      </c>
      <c r="X151" s="216">
        <v>28271046.510000002</v>
      </c>
      <c r="Y151" s="215">
        <f>250818+34747</f>
        <v>285565</v>
      </c>
      <c r="Z151" s="216">
        <f>Y151+X151</f>
        <v>28556611.510000002</v>
      </c>
    </row>
    <row r="152" spans="1:26" ht="9" customHeight="1" x14ac:dyDescent="0.2">
      <c r="B152" s="280"/>
      <c r="C152" s="106"/>
      <c r="D152" s="107"/>
      <c r="E152" s="88"/>
      <c r="F152" s="88"/>
      <c r="G152" s="281"/>
      <c r="H152" s="90"/>
      <c r="I152" s="282"/>
      <c r="J152" s="283"/>
      <c r="K152" s="284"/>
      <c r="L152" s="285"/>
      <c r="M152" s="285"/>
      <c r="N152" s="285"/>
      <c r="O152" s="285"/>
      <c r="P152" s="285"/>
      <c r="Q152" s="285"/>
      <c r="R152" s="285"/>
      <c r="S152" s="285"/>
      <c r="T152" s="285"/>
      <c r="U152" s="285"/>
      <c r="V152" s="285"/>
      <c r="W152" s="285"/>
      <c r="X152" s="285"/>
      <c r="Y152" s="284"/>
      <c r="Z152" s="285"/>
    </row>
    <row r="153" spans="1:26" ht="18.75" x14ac:dyDescent="0.2">
      <c r="A153" s="188"/>
      <c r="B153" s="466" t="s">
        <v>361</v>
      </c>
      <c r="C153" s="251" t="s">
        <v>70</v>
      </c>
      <c r="D153" s="252" t="s">
        <v>135</v>
      </c>
      <c r="E153" s="253" t="s">
        <v>135</v>
      </c>
      <c r="F153" s="253" t="s">
        <v>135</v>
      </c>
      <c r="G153" s="252" t="s">
        <v>136</v>
      </c>
      <c r="H153" s="241" t="s">
        <v>135</v>
      </c>
      <c r="I153" s="184"/>
      <c r="J153" s="254" t="e">
        <f>J154</f>
        <v>#REF!</v>
      </c>
      <c r="K153" s="255" t="e">
        <f>K154</f>
        <v>#REF!</v>
      </c>
      <c r="L153" s="255">
        <f>L154</f>
        <v>0</v>
      </c>
      <c r="M153" s="255">
        <f>M154</f>
        <v>0</v>
      </c>
      <c r="N153" s="255">
        <f>N154+N159</f>
        <v>250000</v>
      </c>
      <c r="O153" s="255">
        <f t="shared" ref="O153:Z153" si="61">O154+O159</f>
        <v>745450</v>
      </c>
      <c r="P153" s="255">
        <f t="shared" si="61"/>
        <v>0</v>
      </c>
      <c r="Q153" s="255">
        <f t="shared" si="61"/>
        <v>-21096.770000000004</v>
      </c>
      <c r="R153" s="255">
        <f t="shared" si="61"/>
        <v>228903.22999999998</v>
      </c>
      <c r="S153" s="255">
        <f t="shared" si="61"/>
        <v>485450</v>
      </c>
      <c r="T153" s="255">
        <f t="shared" si="61"/>
        <v>745450</v>
      </c>
      <c r="U153" s="255">
        <f t="shared" si="61"/>
        <v>0</v>
      </c>
      <c r="V153" s="255">
        <f t="shared" si="61"/>
        <v>0</v>
      </c>
      <c r="W153" s="255">
        <f t="shared" si="61"/>
        <v>485450</v>
      </c>
      <c r="X153" s="255">
        <f t="shared" si="61"/>
        <v>485450</v>
      </c>
      <c r="Y153" s="255">
        <f t="shared" si="61"/>
        <v>0</v>
      </c>
      <c r="Z153" s="256">
        <f t="shared" si="61"/>
        <v>485450</v>
      </c>
    </row>
    <row r="154" spans="1:26" ht="18.75" x14ac:dyDescent="0.2">
      <c r="A154" s="188"/>
      <c r="B154" s="363" t="s">
        <v>11</v>
      </c>
      <c r="C154" s="66" t="s">
        <v>70</v>
      </c>
      <c r="D154" s="66" t="s">
        <v>135</v>
      </c>
      <c r="E154" s="66" t="s">
        <v>135</v>
      </c>
      <c r="F154" s="66" t="s">
        <v>135</v>
      </c>
      <c r="G154" s="66" t="s">
        <v>14</v>
      </c>
      <c r="H154" s="67" t="s">
        <v>135</v>
      </c>
      <c r="I154" s="214"/>
      <c r="J154" s="118" t="e">
        <f>J157+#REF!+J155+#REF!</f>
        <v>#REF!</v>
      </c>
      <c r="K154" s="209" t="e">
        <f>K157+#REF!+K155+#REF!</f>
        <v>#REF!</v>
      </c>
      <c r="L154" s="209">
        <f t="shared" ref="L154:Z154" si="62">L157+L155</f>
        <v>0</v>
      </c>
      <c r="M154" s="209">
        <f t="shared" si="62"/>
        <v>0</v>
      </c>
      <c r="N154" s="209">
        <f t="shared" si="62"/>
        <v>0</v>
      </c>
      <c r="O154" s="210">
        <f t="shared" si="62"/>
        <v>485450</v>
      </c>
      <c r="P154" s="210">
        <f t="shared" si="62"/>
        <v>0</v>
      </c>
      <c r="Q154" s="209">
        <f t="shared" si="62"/>
        <v>112903.23</v>
      </c>
      <c r="R154" s="209">
        <f t="shared" si="62"/>
        <v>112903.23</v>
      </c>
      <c r="S154" s="210">
        <f t="shared" si="62"/>
        <v>485450</v>
      </c>
      <c r="T154" s="210">
        <f t="shared" si="62"/>
        <v>485450</v>
      </c>
      <c r="U154" s="210">
        <f t="shared" si="62"/>
        <v>0</v>
      </c>
      <c r="V154" s="210">
        <f t="shared" si="62"/>
        <v>0</v>
      </c>
      <c r="W154" s="210">
        <f t="shared" si="62"/>
        <v>485450</v>
      </c>
      <c r="X154" s="210">
        <f t="shared" si="62"/>
        <v>485450</v>
      </c>
      <c r="Y154" s="209">
        <f t="shared" si="62"/>
        <v>0</v>
      </c>
      <c r="Z154" s="210">
        <f t="shared" si="62"/>
        <v>485450</v>
      </c>
    </row>
    <row r="155" spans="1:26" ht="51" x14ac:dyDescent="0.2">
      <c r="A155" s="188"/>
      <c r="B155" s="362" t="s">
        <v>67</v>
      </c>
      <c r="C155" s="66" t="s">
        <v>70</v>
      </c>
      <c r="D155" s="66" t="s">
        <v>135</v>
      </c>
      <c r="E155" s="66" t="s">
        <v>135</v>
      </c>
      <c r="F155" s="66" t="s">
        <v>135</v>
      </c>
      <c r="G155" s="66" t="s">
        <v>14</v>
      </c>
      <c r="H155" s="67" t="s">
        <v>135</v>
      </c>
      <c r="I155" s="214" t="s">
        <v>60</v>
      </c>
      <c r="J155" s="118">
        <f t="shared" ref="J155:Z155" si="63">J156</f>
        <v>160000</v>
      </c>
      <c r="K155" s="209">
        <f t="shared" si="63"/>
        <v>0</v>
      </c>
      <c r="L155" s="224">
        <f t="shared" si="63"/>
        <v>0</v>
      </c>
      <c r="M155" s="224">
        <f t="shared" si="63"/>
        <v>0</v>
      </c>
      <c r="N155" s="224">
        <f t="shared" si="63"/>
        <v>0</v>
      </c>
      <c r="O155" s="224">
        <f t="shared" si="63"/>
        <v>130000</v>
      </c>
      <c r="P155" s="224">
        <f t="shared" si="63"/>
        <v>0</v>
      </c>
      <c r="Q155" s="224">
        <f t="shared" si="63"/>
        <v>0</v>
      </c>
      <c r="R155" s="224">
        <f t="shared" si="63"/>
        <v>0</v>
      </c>
      <c r="S155" s="224">
        <f t="shared" si="63"/>
        <v>130000</v>
      </c>
      <c r="T155" s="224">
        <f t="shared" si="63"/>
        <v>130000</v>
      </c>
      <c r="U155" s="224">
        <f t="shared" si="63"/>
        <v>0</v>
      </c>
      <c r="V155" s="224">
        <f t="shared" si="63"/>
        <v>0</v>
      </c>
      <c r="W155" s="224">
        <f t="shared" si="63"/>
        <v>130000</v>
      </c>
      <c r="X155" s="224">
        <f t="shared" si="63"/>
        <v>130000</v>
      </c>
      <c r="Y155" s="223">
        <f t="shared" si="63"/>
        <v>0</v>
      </c>
      <c r="Z155" s="224">
        <f t="shared" si="63"/>
        <v>130000</v>
      </c>
    </row>
    <row r="156" spans="1:26" ht="25.5" x14ac:dyDescent="0.2">
      <c r="A156" s="188"/>
      <c r="B156" s="362" t="s">
        <v>61</v>
      </c>
      <c r="C156" s="66" t="s">
        <v>70</v>
      </c>
      <c r="D156" s="66" t="s">
        <v>135</v>
      </c>
      <c r="E156" s="66" t="s">
        <v>135</v>
      </c>
      <c r="F156" s="66" t="s">
        <v>135</v>
      </c>
      <c r="G156" s="66" t="s">
        <v>14</v>
      </c>
      <c r="H156" s="67" t="s">
        <v>135</v>
      </c>
      <c r="I156" s="214" t="s">
        <v>171</v>
      </c>
      <c r="J156" s="118">
        <v>160000</v>
      </c>
      <c r="K156" s="209">
        <v>0</v>
      </c>
      <c r="L156" s="224">
        <v>0</v>
      </c>
      <c r="M156" s="224">
        <v>0</v>
      </c>
      <c r="N156" s="224">
        <v>0</v>
      </c>
      <c r="O156" s="224">
        <v>130000</v>
      </c>
      <c r="P156" s="224">
        <v>0</v>
      </c>
      <c r="Q156" s="224">
        <v>0</v>
      </c>
      <c r="R156" s="224">
        <v>0</v>
      </c>
      <c r="S156" s="224">
        <v>130000</v>
      </c>
      <c r="T156" s="224">
        <v>130000</v>
      </c>
      <c r="U156" s="224">
        <v>0</v>
      </c>
      <c r="V156" s="224">
        <v>0</v>
      </c>
      <c r="W156" s="224">
        <v>130000</v>
      </c>
      <c r="X156" s="224">
        <v>130000</v>
      </c>
      <c r="Y156" s="223">
        <v>0</v>
      </c>
      <c r="Z156" s="224">
        <v>130000</v>
      </c>
    </row>
    <row r="157" spans="1:26" ht="25.5" x14ac:dyDescent="0.2">
      <c r="A157" s="188"/>
      <c r="B157" s="362" t="s">
        <v>52</v>
      </c>
      <c r="C157" s="66" t="s">
        <v>70</v>
      </c>
      <c r="D157" s="66" t="s">
        <v>135</v>
      </c>
      <c r="E157" s="66" t="s">
        <v>135</v>
      </c>
      <c r="F157" s="66" t="s">
        <v>135</v>
      </c>
      <c r="G157" s="66" t="s">
        <v>14</v>
      </c>
      <c r="H157" s="67" t="s">
        <v>135</v>
      </c>
      <c r="I157" s="214" t="s">
        <v>53</v>
      </c>
      <c r="J157" s="118">
        <f t="shared" ref="J157:Z157" si="64">J158</f>
        <v>308600</v>
      </c>
      <c r="K157" s="209">
        <f t="shared" si="64"/>
        <v>0</v>
      </c>
      <c r="L157" s="216">
        <f t="shared" si="64"/>
        <v>0</v>
      </c>
      <c r="M157" s="216">
        <f t="shared" si="64"/>
        <v>0</v>
      </c>
      <c r="N157" s="216">
        <f t="shared" si="64"/>
        <v>0</v>
      </c>
      <c r="O157" s="216">
        <f t="shared" si="64"/>
        <v>355450</v>
      </c>
      <c r="P157" s="216">
        <f t="shared" si="64"/>
        <v>0</v>
      </c>
      <c r="Q157" s="216">
        <f t="shared" si="64"/>
        <v>112903.23</v>
      </c>
      <c r="R157" s="216">
        <f t="shared" si="64"/>
        <v>112903.23</v>
      </c>
      <c r="S157" s="216">
        <f t="shared" si="64"/>
        <v>355450</v>
      </c>
      <c r="T157" s="216">
        <f t="shared" si="64"/>
        <v>355450</v>
      </c>
      <c r="U157" s="216">
        <f t="shared" si="64"/>
        <v>0</v>
      </c>
      <c r="V157" s="216">
        <f t="shared" si="64"/>
        <v>0</v>
      </c>
      <c r="W157" s="216">
        <f t="shared" si="64"/>
        <v>355450</v>
      </c>
      <c r="X157" s="216">
        <f t="shared" si="64"/>
        <v>355450</v>
      </c>
      <c r="Y157" s="215">
        <f t="shared" si="64"/>
        <v>0</v>
      </c>
      <c r="Z157" s="216">
        <f t="shared" si="64"/>
        <v>355450</v>
      </c>
    </row>
    <row r="158" spans="1:26" ht="25.5" x14ac:dyDescent="0.2">
      <c r="A158" s="188"/>
      <c r="B158" s="362" t="s">
        <v>54</v>
      </c>
      <c r="C158" s="66" t="s">
        <v>70</v>
      </c>
      <c r="D158" s="66" t="s">
        <v>135</v>
      </c>
      <c r="E158" s="66" t="s">
        <v>135</v>
      </c>
      <c r="F158" s="66" t="s">
        <v>135</v>
      </c>
      <c r="G158" s="66" t="s">
        <v>14</v>
      </c>
      <c r="H158" s="67" t="s">
        <v>135</v>
      </c>
      <c r="I158" s="214" t="s">
        <v>55</v>
      </c>
      <c r="J158" s="118">
        <v>308600</v>
      </c>
      <c r="K158" s="209">
        <v>0</v>
      </c>
      <c r="L158" s="216">
        <v>0</v>
      </c>
      <c r="M158" s="216">
        <v>0</v>
      </c>
      <c r="N158" s="216">
        <v>0</v>
      </c>
      <c r="O158" s="216">
        <v>355450</v>
      </c>
      <c r="P158" s="216">
        <v>0</v>
      </c>
      <c r="Q158" s="216">
        <v>112903.23</v>
      </c>
      <c r="R158" s="216">
        <f>Q158</f>
        <v>112903.23</v>
      </c>
      <c r="S158" s="216">
        <v>355450</v>
      </c>
      <c r="T158" s="216">
        <v>355450</v>
      </c>
      <c r="U158" s="216">
        <v>0</v>
      </c>
      <c r="V158" s="216">
        <v>0</v>
      </c>
      <c r="W158" s="216">
        <v>355450</v>
      </c>
      <c r="X158" s="216">
        <v>355450</v>
      </c>
      <c r="Y158" s="215">
        <v>0</v>
      </c>
      <c r="Z158" s="216">
        <v>355450</v>
      </c>
    </row>
    <row r="159" spans="1:26" ht="38.25" x14ac:dyDescent="0.2">
      <c r="A159" s="188"/>
      <c r="B159" s="363" t="s">
        <v>347</v>
      </c>
      <c r="C159" s="66" t="s">
        <v>70</v>
      </c>
      <c r="D159" s="66" t="s">
        <v>135</v>
      </c>
      <c r="E159" s="66" t="s">
        <v>135</v>
      </c>
      <c r="F159" s="66" t="s">
        <v>135</v>
      </c>
      <c r="G159" s="66" t="s">
        <v>389</v>
      </c>
      <c r="H159" s="67" t="s">
        <v>135</v>
      </c>
      <c r="I159" s="309"/>
      <c r="J159" s="64">
        <f t="shared" ref="J159:N162" si="65">J160</f>
        <v>160000</v>
      </c>
      <c r="K159" s="65">
        <f t="shared" si="65"/>
        <v>0</v>
      </c>
      <c r="L159" s="224">
        <f t="shared" si="65"/>
        <v>0</v>
      </c>
      <c r="M159" s="224">
        <f t="shared" si="65"/>
        <v>0</v>
      </c>
      <c r="N159" s="224">
        <f>N160+N162</f>
        <v>250000</v>
      </c>
      <c r="O159" s="224">
        <f t="shared" ref="O159:Z159" si="66">O160+O162</f>
        <v>260000</v>
      </c>
      <c r="P159" s="224">
        <f t="shared" si="66"/>
        <v>0</v>
      </c>
      <c r="Q159" s="224">
        <f t="shared" si="66"/>
        <v>-134000</v>
      </c>
      <c r="R159" s="224">
        <f t="shared" si="66"/>
        <v>116000</v>
      </c>
      <c r="S159" s="224">
        <f t="shared" si="66"/>
        <v>0</v>
      </c>
      <c r="T159" s="224">
        <f t="shared" si="66"/>
        <v>260000</v>
      </c>
      <c r="U159" s="224">
        <f t="shared" si="66"/>
        <v>0</v>
      </c>
      <c r="V159" s="224">
        <f t="shared" si="66"/>
        <v>0</v>
      </c>
      <c r="W159" s="224">
        <f t="shared" si="66"/>
        <v>0</v>
      </c>
      <c r="X159" s="224">
        <f t="shared" si="66"/>
        <v>0</v>
      </c>
      <c r="Y159" s="223">
        <f t="shared" si="66"/>
        <v>0</v>
      </c>
      <c r="Z159" s="224">
        <f t="shared" si="66"/>
        <v>0</v>
      </c>
    </row>
    <row r="160" spans="1:26" ht="51" x14ac:dyDescent="0.2">
      <c r="A160" s="188"/>
      <c r="B160" s="362" t="s">
        <v>67</v>
      </c>
      <c r="C160" s="66" t="s">
        <v>70</v>
      </c>
      <c r="D160" s="66" t="s">
        <v>135</v>
      </c>
      <c r="E160" s="66" t="s">
        <v>135</v>
      </c>
      <c r="F160" s="66" t="s">
        <v>135</v>
      </c>
      <c r="G160" s="66" t="s">
        <v>389</v>
      </c>
      <c r="H160" s="67" t="s">
        <v>135</v>
      </c>
      <c r="I160" s="309" t="s">
        <v>60</v>
      </c>
      <c r="J160" s="64">
        <f t="shared" si="65"/>
        <v>160000</v>
      </c>
      <c r="K160" s="65">
        <f t="shared" si="65"/>
        <v>0</v>
      </c>
      <c r="L160" s="224">
        <f t="shared" si="65"/>
        <v>0</v>
      </c>
      <c r="M160" s="224">
        <f t="shared" si="65"/>
        <v>0</v>
      </c>
      <c r="N160" s="224">
        <f t="shared" si="65"/>
        <v>130000</v>
      </c>
      <c r="O160" s="64">
        <f t="shared" ref="O160:Z162" si="67">O161</f>
        <v>130000</v>
      </c>
      <c r="P160" s="224">
        <f t="shared" si="67"/>
        <v>0</v>
      </c>
      <c r="Q160" s="224">
        <f t="shared" si="67"/>
        <v>-60000</v>
      </c>
      <c r="R160" s="224">
        <f t="shared" si="67"/>
        <v>70000</v>
      </c>
      <c r="S160" s="64">
        <f t="shared" si="67"/>
        <v>0</v>
      </c>
      <c r="T160" s="224">
        <f t="shared" si="67"/>
        <v>130000</v>
      </c>
      <c r="U160" s="223">
        <f t="shared" si="67"/>
        <v>0</v>
      </c>
      <c r="V160" s="224">
        <f t="shared" si="67"/>
        <v>0</v>
      </c>
      <c r="W160" s="64">
        <f t="shared" si="67"/>
        <v>0</v>
      </c>
      <c r="X160" s="224">
        <f t="shared" si="67"/>
        <v>0</v>
      </c>
      <c r="Y160" s="223">
        <f t="shared" si="67"/>
        <v>0</v>
      </c>
      <c r="Z160" s="224">
        <f t="shared" si="67"/>
        <v>0</v>
      </c>
    </row>
    <row r="161" spans="1:26" ht="25.5" x14ac:dyDescent="0.2">
      <c r="A161" s="188"/>
      <c r="B161" s="362" t="s">
        <v>61</v>
      </c>
      <c r="C161" s="66" t="s">
        <v>70</v>
      </c>
      <c r="D161" s="66" t="s">
        <v>135</v>
      </c>
      <c r="E161" s="66" t="s">
        <v>135</v>
      </c>
      <c r="F161" s="66" t="s">
        <v>135</v>
      </c>
      <c r="G161" s="66" t="s">
        <v>389</v>
      </c>
      <c r="H161" s="67" t="s">
        <v>135</v>
      </c>
      <c r="I161" s="309" t="s">
        <v>171</v>
      </c>
      <c r="J161" s="64">
        <v>160000</v>
      </c>
      <c r="K161" s="65">
        <v>0</v>
      </c>
      <c r="L161" s="224">
        <v>0</v>
      </c>
      <c r="M161" s="224">
        <v>0</v>
      </c>
      <c r="N161" s="224">
        <v>130000</v>
      </c>
      <c r="O161" s="64">
        <v>130000</v>
      </c>
      <c r="P161" s="224">
        <v>0</v>
      </c>
      <c r="Q161" s="224">
        <v>-60000</v>
      </c>
      <c r="R161" s="224">
        <f>Q161+N161</f>
        <v>70000</v>
      </c>
      <c r="S161" s="64">
        <v>0</v>
      </c>
      <c r="T161" s="224">
        <v>130000</v>
      </c>
      <c r="U161" s="223">
        <v>0</v>
      </c>
      <c r="V161" s="224">
        <v>0</v>
      </c>
      <c r="W161" s="64">
        <v>0</v>
      </c>
      <c r="X161" s="224">
        <v>0</v>
      </c>
      <c r="Y161" s="223">
        <v>0</v>
      </c>
      <c r="Z161" s="224">
        <v>0</v>
      </c>
    </row>
    <row r="162" spans="1:26" ht="25.5" x14ac:dyDescent="0.2">
      <c r="A162" s="188"/>
      <c r="B162" s="362" t="s">
        <v>52</v>
      </c>
      <c r="C162" s="66" t="s">
        <v>70</v>
      </c>
      <c r="D162" s="66" t="s">
        <v>135</v>
      </c>
      <c r="E162" s="66" t="s">
        <v>135</v>
      </c>
      <c r="F162" s="66" t="s">
        <v>135</v>
      </c>
      <c r="G162" s="66" t="s">
        <v>389</v>
      </c>
      <c r="H162" s="67" t="s">
        <v>135</v>
      </c>
      <c r="I162" s="309" t="s">
        <v>53</v>
      </c>
      <c r="J162" s="64">
        <f t="shared" si="65"/>
        <v>160000</v>
      </c>
      <c r="K162" s="65">
        <f t="shared" si="65"/>
        <v>0</v>
      </c>
      <c r="L162" s="224">
        <f t="shared" si="65"/>
        <v>0</v>
      </c>
      <c r="M162" s="224">
        <f t="shared" si="65"/>
        <v>0</v>
      </c>
      <c r="N162" s="224">
        <f t="shared" si="65"/>
        <v>120000</v>
      </c>
      <c r="O162" s="64">
        <f t="shared" si="67"/>
        <v>130000</v>
      </c>
      <c r="P162" s="224">
        <f t="shared" si="67"/>
        <v>0</v>
      </c>
      <c r="Q162" s="224">
        <f t="shared" si="67"/>
        <v>-74000</v>
      </c>
      <c r="R162" s="224">
        <f t="shared" si="67"/>
        <v>46000</v>
      </c>
      <c r="S162" s="64">
        <f t="shared" si="67"/>
        <v>0</v>
      </c>
      <c r="T162" s="224">
        <f t="shared" si="67"/>
        <v>130000</v>
      </c>
      <c r="U162" s="223">
        <f t="shared" si="67"/>
        <v>0</v>
      </c>
      <c r="V162" s="224">
        <f t="shared" si="67"/>
        <v>0</v>
      </c>
      <c r="W162" s="64">
        <f t="shared" si="67"/>
        <v>0</v>
      </c>
      <c r="X162" s="224">
        <f t="shared" si="67"/>
        <v>0</v>
      </c>
      <c r="Y162" s="223">
        <f t="shared" si="67"/>
        <v>0</v>
      </c>
      <c r="Z162" s="224">
        <f t="shared" si="67"/>
        <v>0</v>
      </c>
    </row>
    <row r="163" spans="1:26" ht="25.5" x14ac:dyDescent="0.2">
      <c r="A163" s="188"/>
      <c r="B163" s="362" t="s">
        <v>54</v>
      </c>
      <c r="C163" s="66" t="s">
        <v>70</v>
      </c>
      <c r="D163" s="66" t="s">
        <v>135</v>
      </c>
      <c r="E163" s="66" t="s">
        <v>135</v>
      </c>
      <c r="F163" s="66" t="s">
        <v>135</v>
      </c>
      <c r="G163" s="66" t="s">
        <v>389</v>
      </c>
      <c r="H163" s="67" t="s">
        <v>135</v>
      </c>
      <c r="I163" s="309" t="s">
        <v>55</v>
      </c>
      <c r="J163" s="64">
        <v>160000</v>
      </c>
      <c r="K163" s="65">
        <v>0</v>
      </c>
      <c r="L163" s="224">
        <v>0</v>
      </c>
      <c r="M163" s="224">
        <v>0</v>
      </c>
      <c r="N163" s="224">
        <v>120000</v>
      </c>
      <c r="O163" s="64">
        <v>130000</v>
      </c>
      <c r="P163" s="224">
        <v>0</v>
      </c>
      <c r="Q163" s="224">
        <v>-74000</v>
      </c>
      <c r="R163" s="224">
        <f>Q163+N163</f>
        <v>46000</v>
      </c>
      <c r="S163" s="64">
        <v>0</v>
      </c>
      <c r="T163" s="224">
        <v>130000</v>
      </c>
      <c r="U163" s="223">
        <v>0</v>
      </c>
      <c r="V163" s="224">
        <v>0</v>
      </c>
      <c r="W163" s="64">
        <v>0</v>
      </c>
      <c r="X163" s="224">
        <v>0</v>
      </c>
      <c r="Y163" s="223">
        <v>0</v>
      </c>
      <c r="Z163" s="224">
        <v>0</v>
      </c>
    </row>
    <row r="164" spans="1:26" ht="9.75" customHeight="1" x14ac:dyDescent="0.2">
      <c r="A164" s="188"/>
      <c r="B164" s="280"/>
      <c r="C164" s="129"/>
      <c r="D164" s="88"/>
      <c r="E164" s="88"/>
      <c r="F164" s="88"/>
      <c r="G164" s="287"/>
      <c r="H164" s="90"/>
      <c r="I164" s="235"/>
      <c r="J164" s="288"/>
      <c r="K164" s="264"/>
      <c r="L164" s="264"/>
      <c r="M164" s="264"/>
      <c r="N164" s="264"/>
      <c r="O164" s="265"/>
      <c r="P164" s="265"/>
      <c r="Q164" s="264"/>
      <c r="R164" s="264"/>
      <c r="S164" s="265"/>
      <c r="T164" s="265"/>
      <c r="U164" s="265"/>
      <c r="V164" s="265"/>
      <c r="W164" s="265"/>
      <c r="X164" s="265"/>
      <c r="Y164" s="264"/>
      <c r="Z164" s="265"/>
    </row>
    <row r="165" spans="1:26" ht="47.25" x14ac:dyDescent="0.2">
      <c r="A165" s="188"/>
      <c r="B165" s="250" t="s">
        <v>379</v>
      </c>
      <c r="C165" s="251" t="s">
        <v>74</v>
      </c>
      <c r="D165" s="252" t="s">
        <v>135</v>
      </c>
      <c r="E165" s="253" t="s">
        <v>135</v>
      </c>
      <c r="F165" s="253" t="s">
        <v>135</v>
      </c>
      <c r="G165" s="252" t="s">
        <v>136</v>
      </c>
      <c r="H165" s="241" t="s">
        <v>135</v>
      </c>
      <c r="I165" s="532"/>
      <c r="J165" s="254">
        <f t="shared" ref="J165:X165" si="68">J173+J166</f>
        <v>383600</v>
      </c>
      <c r="K165" s="255">
        <f t="shared" si="68"/>
        <v>0</v>
      </c>
      <c r="L165" s="256">
        <f t="shared" si="68"/>
        <v>0</v>
      </c>
      <c r="M165" s="256">
        <f t="shared" si="68"/>
        <v>0</v>
      </c>
      <c r="N165" s="256">
        <f t="shared" si="68"/>
        <v>300000</v>
      </c>
      <c r="O165" s="256">
        <f t="shared" si="68"/>
        <v>1210000</v>
      </c>
      <c r="P165" s="256">
        <f t="shared" si="68"/>
        <v>0</v>
      </c>
      <c r="Q165" s="256">
        <f>Q173+Q166</f>
        <v>566500</v>
      </c>
      <c r="R165" s="256">
        <f>R173+R166</f>
        <v>866500</v>
      </c>
      <c r="S165" s="256">
        <f t="shared" si="68"/>
        <v>610000</v>
      </c>
      <c r="T165" s="257">
        <f t="shared" si="68"/>
        <v>1210000</v>
      </c>
      <c r="U165" s="257">
        <f t="shared" si="68"/>
        <v>0</v>
      </c>
      <c r="V165" s="256">
        <f>V173+V166</f>
        <v>0</v>
      </c>
      <c r="W165" s="256">
        <f>W173+W166</f>
        <v>610000</v>
      </c>
      <c r="X165" s="257">
        <f t="shared" si="68"/>
        <v>610000</v>
      </c>
      <c r="Y165" s="254">
        <f>Y173+Y166</f>
        <v>0</v>
      </c>
      <c r="Z165" s="256">
        <f>Z173+Z166</f>
        <v>610000</v>
      </c>
    </row>
    <row r="166" spans="1:26" ht="36" customHeight="1" x14ac:dyDescent="0.2">
      <c r="A166" s="188"/>
      <c r="B166" s="258" t="s">
        <v>380</v>
      </c>
      <c r="C166" s="289" t="s">
        <v>74</v>
      </c>
      <c r="D166" s="61" t="s">
        <v>137</v>
      </c>
      <c r="E166" s="230" t="s">
        <v>135</v>
      </c>
      <c r="F166" s="230" t="s">
        <v>135</v>
      </c>
      <c r="G166" s="61" t="s">
        <v>136</v>
      </c>
      <c r="H166" s="228" t="s">
        <v>135</v>
      </c>
      <c r="I166" s="290"/>
      <c r="J166" s="195">
        <f t="shared" ref="J166:Z166" si="69">J167</f>
        <v>13600</v>
      </c>
      <c r="K166" s="196">
        <f t="shared" si="69"/>
        <v>0</v>
      </c>
      <c r="L166" s="197">
        <f t="shared" si="69"/>
        <v>0</v>
      </c>
      <c r="M166" s="197">
        <f t="shared" si="69"/>
        <v>0</v>
      </c>
      <c r="N166" s="197">
        <f t="shared" si="69"/>
        <v>0</v>
      </c>
      <c r="O166" s="197">
        <f t="shared" si="69"/>
        <v>10000</v>
      </c>
      <c r="P166" s="197">
        <f t="shared" si="69"/>
        <v>0</v>
      </c>
      <c r="Q166" s="197">
        <f t="shared" si="69"/>
        <v>0</v>
      </c>
      <c r="R166" s="197">
        <f t="shared" si="69"/>
        <v>0</v>
      </c>
      <c r="S166" s="197">
        <f t="shared" si="69"/>
        <v>10000</v>
      </c>
      <c r="T166" s="203">
        <f t="shared" si="69"/>
        <v>10000</v>
      </c>
      <c r="U166" s="203">
        <f t="shared" si="69"/>
        <v>0</v>
      </c>
      <c r="V166" s="197">
        <f t="shared" si="69"/>
        <v>0</v>
      </c>
      <c r="W166" s="197">
        <f t="shared" si="69"/>
        <v>10000</v>
      </c>
      <c r="X166" s="203">
        <f t="shared" si="69"/>
        <v>10000</v>
      </c>
      <c r="Y166" s="195">
        <f t="shared" si="69"/>
        <v>0</v>
      </c>
      <c r="Z166" s="197">
        <f t="shared" si="69"/>
        <v>10000</v>
      </c>
    </row>
    <row r="167" spans="1:26" ht="18.75" x14ac:dyDescent="0.2">
      <c r="A167" s="188"/>
      <c r="B167" s="258" t="s">
        <v>214</v>
      </c>
      <c r="C167" s="77" t="s">
        <v>74</v>
      </c>
      <c r="D167" s="79" t="s">
        <v>137</v>
      </c>
      <c r="E167" s="66" t="s">
        <v>135</v>
      </c>
      <c r="F167" s="66" t="s">
        <v>135</v>
      </c>
      <c r="G167" s="79" t="s">
        <v>215</v>
      </c>
      <c r="H167" s="67" t="s">
        <v>135</v>
      </c>
      <c r="I167" s="291"/>
      <c r="J167" s="118">
        <f t="shared" ref="J167:X167" si="70">J168+J170</f>
        <v>13600</v>
      </c>
      <c r="K167" s="209">
        <f t="shared" si="70"/>
        <v>0</v>
      </c>
      <c r="L167" s="210">
        <f t="shared" si="70"/>
        <v>0</v>
      </c>
      <c r="M167" s="210">
        <f t="shared" si="70"/>
        <v>0</v>
      </c>
      <c r="N167" s="210">
        <f t="shared" si="70"/>
        <v>0</v>
      </c>
      <c r="O167" s="210">
        <f t="shared" si="70"/>
        <v>10000</v>
      </c>
      <c r="P167" s="210">
        <f t="shared" si="70"/>
        <v>0</v>
      </c>
      <c r="Q167" s="210">
        <f>Q168+Q170</f>
        <v>0</v>
      </c>
      <c r="R167" s="210">
        <f>R168+R170</f>
        <v>0</v>
      </c>
      <c r="S167" s="210">
        <f t="shared" si="70"/>
        <v>10000</v>
      </c>
      <c r="T167" s="211">
        <f t="shared" si="70"/>
        <v>10000</v>
      </c>
      <c r="U167" s="211">
        <f t="shared" si="70"/>
        <v>0</v>
      </c>
      <c r="V167" s="210">
        <f>V168+V170</f>
        <v>0</v>
      </c>
      <c r="W167" s="210">
        <f>W168+W170</f>
        <v>10000</v>
      </c>
      <c r="X167" s="211">
        <f t="shared" si="70"/>
        <v>10000</v>
      </c>
      <c r="Y167" s="118">
        <f>Y168+Y170</f>
        <v>0</v>
      </c>
      <c r="Z167" s="210">
        <f>Z168+Z170</f>
        <v>10000</v>
      </c>
    </row>
    <row r="168" spans="1:26" ht="25.5" hidden="1" x14ac:dyDescent="0.2">
      <c r="A168" s="188"/>
      <c r="B168" s="258" t="s">
        <v>52</v>
      </c>
      <c r="C168" s="77" t="s">
        <v>74</v>
      </c>
      <c r="D168" s="79" t="s">
        <v>137</v>
      </c>
      <c r="E168" s="66" t="s">
        <v>135</v>
      </c>
      <c r="F168" s="66" t="s">
        <v>135</v>
      </c>
      <c r="G168" s="79" t="s">
        <v>215</v>
      </c>
      <c r="H168" s="67" t="s">
        <v>135</v>
      </c>
      <c r="I168" s="291" t="s">
        <v>53</v>
      </c>
      <c r="J168" s="118">
        <f t="shared" ref="J168:Z168" si="71">J169</f>
        <v>3600</v>
      </c>
      <c r="K168" s="209">
        <f t="shared" si="71"/>
        <v>0</v>
      </c>
      <c r="L168" s="210">
        <f t="shared" si="71"/>
        <v>0</v>
      </c>
      <c r="M168" s="210">
        <f t="shared" si="71"/>
        <v>0</v>
      </c>
      <c r="N168" s="210">
        <f t="shared" si="71"/>
        <v>0</v>
      </c>
      <c r="O168" s="210">
        <f t="shared" si="71"/>
        <v>0</v>
      </c>
      <c r="P168" s="210">
        <f t="shared" si="71"/>
        <v>0</v>
      </c>
      <c r="Q168" s="210">
        <f t="shared" si="71"/>
        <v>0</v>
      </c>
      <c r="R168" s="210">
        <f t="shared" si="71"/>
        <v>0</v>
      </c>
      <c r="S168" s="210">
        <f t="shared" si="71"/>
        <v>0</v>
      </c>
      <c r="T168" s="211">
        <f t="shared" si="71"/>
        <v>0</v>
      </c>
      <c r="U168" s="211">
        <f t="shared" si="71"/>
        <v>0</v>
      </c>
      <c r="V168" s="210">
        <f t="shared" si="71"/>
        <v>0</v>
      </c>
      <c r="W168" s="210">
        <f t="shared" si="71"/>
        <v>0</v>
      </c>
      <c r="X168" s="211">
        <f t="shared" si="71"/>
        <v>0</v>
      </c>
      <c r="Y168" s="118">
        <f t="shared" si="71"/>
        <v>0</v>
      </c>
      <c r="Z168" s="210">
        <f t="shared" si="71"/>
        <v>0</v>
      </c>
    </row>
    <row r="169" spans="1:26" ht="25.5" hidden="1" x14ac:dyDescent="0.2">
      <c r="A169" s="188"/>
      <c r="B169" s="258" t="s">
        <v>54</v>
      </c>
      <c r="C169" s="77" t="s">
        <v>74</v>
      </c>
      <c r="D169" s="79" t="s">
        <v>137</v>
      </c>
      <c r="E169" s="66" t="s">
        <v>135</v>
      </c>
      <c r="F169" s="66" t="s">
        <v>135</v>
      </c>
      <c r="G169" s="79" t="s">
        <v>215</v>
      </c>
      <c r="H169" s="67" t="s">
        <v>135</v>
      </c>
      <c r="I169" s="291" t="s">
        <v>55</v>
      </c>
      <c r="J169" s="118">
        <v>3600</v>
      </c>
      <c r="K169" s="209">
        <v>0</v>
      </c>
      <c r="L169" s="210"/>
      <c r="M169" s="210"/>
      <c r="N169" s="210"/>
      <c r="O169" s="210"/>
      <c r="P169" s="210"/>
      <c r="Q169" s="210"/>
      <c r="R169" s="210"/>
      <c r="S169" s="210"/>
      <c r="T169" s="211"/>
      <c r="U169" s="211"/>
      <c r="V169" s="210"/>
      <c r="W169" s="210"/>
      <c r="X169" s="211"/>
      <c r="Y169" s="118"/>
      <c r="Z169" s="210"/>
    </row>
    <row r="170" spans="1:26" ht="13.5" customHeight="1" x14ac:dyDescent="0.2">
      <c r="A170" s="188"/>
      <c r="B170" s="286" t="s">
        <v>154</v>
      </c>
      <c r="C170" s="77" t="s">
        <v>74</v>
      </c>
      <c r="D170" s="79" t="s">
        <v>137</v>
      </c>
      <c r="E170" s="66" t="s">
        <v>135</v>
      </c>
      <c r="F170" s="66" t="s">
        <v>135</v>
      </c>
      <c r="G170" s="79" t="s">
        <v>215</v>
      </c>
      <c r="H170" s="67" t="s">
        <v>135</v>
      </c>
      <c r="I170" s="291" t="s">
        <v>57</v>
      </c>
      <c r="J170" s="118">
        <f t="shared" ref="J170:Z170" si="72">J171</f>
        <v>10000</v>
      </c>
      <c r="K170" s="209">
        <f t="shared" si="72"/>
        <v>0</v>
      </c>
      <c r="L170" s="210">
        <f t="shared" si="72"/>
        <v>0</v>
      </c>
      <c r="M170" s="210">
        <f t="shared" si="72"/>
        <v>0</v>
      </c>
      <c r="N170" s="210">
        <f t="shared" si="72"/>
        <v>0</v>
      </c>
      <c r="O170" s="210">
        <f t="shared" si="72"/>
        <v>10000</v>
      </c>
      <c r="P170" s="210">
        <f t="shared" si="72"/>
        <v>0</v>
      </c>
      <c r="Q170" s="210">
        <f t="shared" si="72"/>
        <v>0</v>
      </c>
      <c r="R170" s="210">
        <f t="shared" si="72"/>
        <v>0</v>
      </c>
      <c r="S170" s="210">
        <f t="shared" si="72"/>
        <v>10000</v>
      </c>
      <c r="T170" s="211">
        <f t="shared" si="72"/>
        <v>10000</v>
      </c>
      <c r="U170" s="211">
        <f t="shared" si="72"/>
        <v>0</v>
      </c>
      <c r="V170" s="210">
        <f t="shared" si="72"/>
        <v>0</v>
      </c>
      <c r="W170" s="210">
        <f t="shared" si="72"/>
        <v>10000</v>
      </c>
      <c r="X170" s="211">
        <f t="shared" si="72"/>
        <v>10000</v>
      </c>
      <c r="Y170" s="118">
        <f t="shared" si="72"/>
        <v>0</v>
      </c>
      <c r="Z170" s="210">
        <f t="shared" si="72"/>
        <v>10000</v>
      </c>
    </row>
    <row r="171" spans="1:26" ht="18.75" x14ac:dyDescent="0.2">
      <c r="A171" s="188"/>
      <c r="B171" s="212" t="s">
        <v>155</v>
      </c>
      <c r="C171" s="77" t="s">
        <v>74</v>
      </c>
      <c r="D171" s="79" t="s">
        <v>137</v>
      </c>
      <c r="E171" s="66" t="s">
        <v>135</v>
      </c>
      <c r="F171" s="66" t="s">
        <v>135</v>
      </c>
      <c r="G171" s="79" t="s">
        <v>215</v>
      </c>
      <c r="H171" s="67" t="s">
        <v>135</v>
      </c>
      <c r="I171" s="291" t="s">
        <v>153</v>
      </c>
      <c r="J171" s="118">
        <v>10000</v>
      </c>
      <c r="K171" s="209">
        <v>0</v>
      </c>
      <c r="L171" s="210">
        <v>0</v>
      </c>
      <c r="M171" s="210">
        <v>0</v>
      </c>
      <c r="N171" s="210">
        <v>0</v>
      </c>
      <c r="O171" s="210">
        <v>10000</v>
      </c>
      <c r="P171" s="210">
        <v>0</v>
      </c>
      <c r="Q171" s="210">
        <v>0</v>
      </c>
      <c r="R171" s="210">
        <v>0</v>
      </c>
      <c r="S171" s="210">
        <v>10000</v>
      </c>
      <c r="T171" s="211">
        <v>10000</v>
      </c>
      <c r="U171" s="211">
        <v>0</v>
      </c>
      <c r="V171" s="210">
        <v>0</v>
      </c>
      <c r="W171" s="210">
        <v>10000</v>
      </c>
      <c r="X171" s="211">
        <v>10000</v>
      </c>
      <c r="Y171" s="118">
        <v>0</v>
      </c>
      <c r="Z171" s="210">
        <v>10000</v>
      </c>
    </row>
    <row r="172" spans="1:26" ht="6.75" customHeight="1" x14ac:dyDescent="0.2">
      <c r="A172" s="188"/>
      <c r="B172" s="250"/>
      <c r="C172" s="199"/>
      <c r="D172" s="200"/>
      <c r="E172" s="72"/>
      <c r="F172" s="72"/>
      <c r="G172" s="200"/>
      <c r="H172" s="67"/>
      <c r="I172" s="292"/>
      <c r="J172" s="195"/>
      <c r="K172" s="196"/>
      <c r="L172" s="197"/>
      <c r="M172" s="197"/>
      <c r="N172" s="197"/>
      <c r="O172" s="197"/>
      <c r="P172" s="197"/>
      <c r="Q172" s="197"/>
      <c r="R172" s="197"/>
      <c r="S172" s="197"/>
      <c r="T172" s="203"/>
      <c r="U172" s="203"/>
      <c r="V172" s="197"/>
      <c r="W172" s="197"/>
      <c r="X172" s="203"/>
      <c r="Y172" s="195"/>
      <c r="Z172" s="197"/>
    </row>
    <row r="173" spans="1:26" s="206" customFormat="1" ht="38.25" x14ac:dyDescent="0.2">
      <c r="A173" s="204"/>
      <c r="B173" s="258" t="s">
        <v>381</v>
      </c>
      <c r="C173" s="293" t="s">
        <v>74</v>
      </c>
      <c r="D173" s="294" t="s">
        <v>133</v>
      </c>
      <c r="E173" s="227" t="s">
        <v>135</v>
      </c>
      <c r="F173" s="227" t="s">
        <v>135</v>
      </c>
      <c r="G173" s="294" t="s">
        <v>136</v>
      </c>
      <c r="H173" s="228" t="s">
        <v>135</v>
      </c>
      <c r="I173" s="290"/>
      <c r="J173" s="295">
        <f t="shared" ref="J173:Y175" si="73">J174</f>
        <v>370000</v>
      </c>
      <c r="K173" s="296">
        <f t="shared" si="73"/>
        <v>0</v>
      </c>
      <c r="L173" s="297">
        <f t="shared" ref="L173:M173" si="74">L174</f>
        <v>0</v>
      </c>
      <c r="M173" s="297">
        <f t="shared" si="74"/>
        <v>0</v>
      </c>
      <c r="N173" s="297">
        <f>N174+N177</f>
        <v>300000</v>
      </c>
      <c r="O173" s="297">
        <f t="shared" ref="O173:Z173" si="75">O174+O177</f>
        <v>1200000</v>
      </c>
      <c r="P173" s="297">
        <f t="shared" si="75"/>
        <v>0</v>
      </c>
      <c r="Q173" s="297">
        <f t="shared" si="75"/>
        <v>566500</v>
      </c>
      <c r="R173" s="297">
        <f t="shared" si="75"/>
        <v>866500</v>
      </c>
      <c r="S173" s="297">
        <f t="shared" si="75"/>
        <v>600000</v>
      </c>
      <c r="T173" s="297">
        <f t="shared" si="75"/>
        <v>1200000</v>
      </c>
      <c r="U173" s="297">
        <f t="shared" si="75"/>
        <v>0</v>
      </c>
      <c r="V173" s="297">
        <f t="shared" si="75"/>
        <v>0</v>
      </c>
      <c r="W173" s="297">
        <f t="shared" si="75"/>
        <v>600000</v>
      </c>
      <c r="X173" s="297">
        <f t="shared" si="75"/>
        <v>600000</v>
      </c>
      <c r="Y173" s="296">
        <f t="shared" si="75"/>
        <v>0</v>
      </c>
      <c r="Z173" s="297">
        <f t="shared" si="75"/>
        <v>600000</v>
      </c>
    </row>
    <row r="174" spans="1:26" s="206" customFormat="1" ht="18.75" x14ac:dyDescent="0.2">
      <c r="A174" s="204"/>
      <c r="B174" s="212" t="s">
        <v>229</v>
      </c>
      <c r="C174" s="77" t="s">
        <v>74</v>
      </c>
      <c r="D174" s="79" t="s">
        <v>133</v>
      </c>
      <c r="E174" s="66" t="s">
        <v>135</v>
      </c>
      <c r="F174" s="66" t="s">
        <v>135</v>
      </c>
      <c r="G174" s="79" t="s">
        <v>14</v>
      </c>
      <c r="H174" s="67" t="s">
        <v>135</v>
      </c>
      <c r="I174" s="291"/>
      <c r="J174" s="220">
        <f t="shared" si="73"/>
        <v>370000</v>
      </c>
      <c r="K174" s="46">
        <f t="shared" si="73"/>
        <v>0</v>
      </c>
      <c r="L174" s="221">
        <f t="shared" si="73"/>
        <v>0</v>
      </c>
      <c r="M174" s="221">
        <f t="shared" si="73"/>
        <v>0</v>
      </c>
      <c r="N174" s="221">
        <f t="shared" si="73"/>
        <v>300000</v>
      </c>
      <c r="O174" s="221">
        <f t="shared" si="73"/>
        <v>600000</v>
      </c>
      <c r="P174" s="221">
        <f t="shared" si="73"/>
        <v>0</v>
      </c>
      <c r="Q174" s="221">
        <f t="shared" si="73"/>
        <v>-100000</v>
      </c>
      <c r="R174" s="221">
        <f t="shared" si="73"/>
        <v>200000</v>
      </c>
      <c r="S174" s="221">
        <f t="shared" si="73"/>
        <v>600000</v>
      </c>
      <c r="T174" s="222">
        <f t="shared" si="73"/>
        <v>600000</v>
      </c>
      <c r="U174" s="222">
        <f t="shared" si="73"/>
        <v>0</v>
      </c>
      <c r="V174" s="221">
        <f t="shared" si="73"/>
        <v>0</v>
      </c>
      <c r="W174" s="221">
        <f t="shared" si="73"/>
        <v>600000</v>
      </c>
      <c r="X174" s="222">
        <f t="shared" si="73"/>
        <v>600000</v>
      </c>
      <c r="Y174" s="220">
        <f t="shared" si="73"/>
        <v>0</v>
      </c>
      <c r="Z174" s="221">
        <f>Z175</f>
        <v>600000</v>
      </c>
    </row>
    <row r="175" spans="1:26" s="206" customFormat="1" ht="25.5" x14ac:dyDescent="0.2">
      <c r="A175" s="204"/>
      <c r="B175" s="212" t="s">
        <v>21</v>
      </c>
      <c r="C175" s="77" t="s">
        <v>74</v>
      </c>
      <c r="D175" s="79" t="s">
        <v>133</v>
      </c>
      <c r="E175" s="66" t="s">
        <v>135</v>
      </c>
      <c r="F175" s="66" t="s">
        <v>135</v>
      </c>
      <c r="G175" s="79" t="s">
        <v>14</v>
      </c>
      <c r="H175" s="67" t="s">
        <v>135</v>
      </c>
      <c r="I175" s="291" t="s">
        <v>149</v>
      </c>
      <c r="J175" s="220">
        <f t="shared" si="73"/>
        <v>370000</v>
      </c>
      <c r="K175" s="46">
        <f t="shared" si="73"/>
        <v>0</v>
      </c>
      <c r="L175" s="221">
        <f t="shared" si="73"/>
        <v>0</v>
      </c>
      <c r="M175" s="221">
        <f t="shared" si="73"/>
        <v>0</v>
      </c>
      <c r="N175" s="221">
        <f t="shared" si="73"/>
        <v>300000</v>
      </c>
      <c r="O175" s="221">
        <f t="shared" si="73"/>
        <v>600000</v>
      </c>
      <c r="P175" s="221">
        <f t="shared" si="73"/>
        <v>0</v>
      </c>
      <c r="Q175" s="221">
        <f t="shared" si="73"/>
        <v>-100000</v>
      </c>
      <c r="R175" s="221">
        <f t="shared" si="73"/>
        <v>200000</v>
      </c>
      <c r="S175" s="221">
        <f t="shared" si="73"/>
        <v>600000</v>
      </c>
      <c r="T175" s="222">
        <f t="shared" si="73"/>
        <v>600000</v>
      </c>
      <c r="U175" s="222">
        <f t="shared" si="73"/>
        <v>0</v>
      </c>
      <c r="V175" s="221">
        <f t="shared" si="73"/>
        <v>0</v>
      </c>
      <c r="W175" s="221">
        <f t="shared" si="73"/>
        <v>600000</v>
      </c>
      <c r="X175" s="222">
        <f t="shared" si="73"/>
        <v>600000</v>
      </c>
      <c r="Y175" s="220">
        <f>Y176</f>
        <v>0</v>
      </c>
      <c r="Z175" s="221">
        <f>Z176</f>
        <v>600000</v>
      </c>
    </row>
    <row r="176" spans="1:26" s="206" customFormat="1" ht="18.75" x14ac:dyDescent="0.2">
      <c r="A176" s="204"/>
      <c r="B176" s="212" t="s">
        <v>22</v>
      </c>
      <c r="C176" s="77" t="s">
        <v>74</v>
      </c>
      <c r="D176" s="79" t="s">
        <v>133</v>
      </c>
      <c r="E176" s="66" t="s">
        <v>135</v>
      </c>
      <c r="F176" s="66" t="s">
        <v>135</v>
      </c>
      <c r="G176" s="79" t="s">
        <v>14</v>
      </c>
      <c r="H176" s="67" t="s">
        <v>135</v>
      </c>
      <c r="I176" s="291" t="s">
        <v>23</v>
      </c>
      <c r="J176" s="220">
        <f>200000+70000+100000</f>
        <v>370000</v>
      </c>
      <c r="K176" s="46">
        <v>0</v>
      </c>
      <c r="L176" s="221">
        <v>0</v>
      </c>
      <c r="M176" s="221">
        <v>0</v>
      </c>
      <c r="N176" s="221">
        <v>300000</v>
      </c>
      <c r="O176" s="221">
        <v>600000</v>
      </c>
      <c r="P176" s="221">
        <v>0</v>
      </c>
      <c r="Q176" s="221">
        <v>-100000</v>
      </c>
      <c r="R176" s="221">
        <f>Q176+N176</f>
        <v>200000</v>
      </c>
      <c r="S176" s="221">
        <v>600000</v>
      </c>
      <c r="T176" s="222">
        <v>600000</v>
      </c>
      <c r="U176" s="222">
        <v>0</v>
      </c>
      <c r="V176" s="221">
        <v>0</v>
      </c>
      <c r="W176" s="221">
        <v>600000</v>
      </c>
      <c r="X176" s="222">
        <v>600000</v>
      </c>
      <c r="Y176" s="220">
        <v>0</v>
      </c>
      <c r="Z176" s="221">
        <v>600000</v>
      </c>
    </row>
    <row r="177" spans="1:26" s="206" customFormat="1" ht="61.5" customHeight="1" x14ac:dyDescent="0.2">
      <c r="A177" s="204"/>
      <c r="B177" s="212" t="s">
        <v>455</v>
      </c>
      <c r="C177" s="77" t="s">
        <v>74</v>
      </c>
      <c r="D177" s="79" t="s">
        <v>133</v>
      </c>
      <c r="E177" s="66" t="s">
        <v>135</v>
      </c>
      <c r="F177" s="66" t="s">
        <v>135</v>
      </c>
      <c r="G177" s="79" t="s">
        <v>454</v>
      </c>
      <c r="H177" s="67" t="s">
        <v>135</v>
      </c>
      <c r="I177" s="291"/>
      <c r="J177" s="220">
        <f t="shared" ref="J177:Y178" si="76">J178</f>
        <v>370000</v>
      </c>
      <c r="K177" s="46">
        <f t="shared" si="76"/>
        <v>0</v>
      </c>
      <c r="L177" s="221">
        <f t="shared" si="76"/>
        <v>0</v>
      </c>
      <c r="M177" s="221">
        <f t="shared" si="76"/>
        <v>0</v>
      </c>
      <c r="N177" s="221">
        <f t="shared" si="76"/>
        <v>0</v>
      </c>
      <c r="O177" s="221">
        <f t="shared" si="76"/>
        <v>600000</v>
      </c>
      <c r="P177" s="221">
        <f t="shared" si="76"/>
        <v>0</v>
      </c>
      <c r="Q177" s="221">
        <f t="shared" si="76"/>
        <v>666500</v>
      </c>
      <c r="R177" s="221">
        <f t="shared" si="76"/>
        <v>666500</v>
      </c>
      <c r="S177" s="221">
        <f t="shared" si="76"/>
        <v>0</v>
      </c>
      <c r="T177" s="222">
        <f t="shared" si="76"/>
        <v>600000</v>
      </c>
      <c r="U177" s="222">
        <f t="shared" si="76"/>
        <v>0</v>
      </c>
      <c r="V177" s="221">
        <f t="shared" si="76"/>
        <v>0</v>
      </c>
      <c r="W177" s="221">
        <f t="shared" si="76"/>
        <v>0</v>
      </c>
      <c r="X177" s="222">
        <f t="shared" si="76"/>
        <v>0</v>
      </c>
      <c r="Y177" s="220">
        <f t="shared" si="76"/>
        <v>0</v>
      </c>
      <c r="Z177" s="221">
        <f>Z178</f>
        <v>0</v>
      </c>
    </row>
    <row r="178" spans="1:26" s="206" customFormat="1" ht="25.5" x14ac:dyDescent="0.2">
      <c r="A178" s="204"/>
      <c r="B178" s="212" t="s">
        <v>21</v>
      </c>
      <c r="C178" s="77" t="s">
        <v>74</v>
      </c>
      <c r="D178" s="79" t="s">
        <v>133</v>
      </c>
      <c r="E178" s="66" t="s">
        <v>135</v>
      </c>
      <c r="F178" s="66" t="s">
        <v>135</v>
      </c>
      <c r="G178" s="79" t="s">
        <v>454</v>
      </c>
      <c r="H178" s="67" t="s">
        <v>135</v>
      </c>
      <c r="I178" s="291" t="s">
        <v>149</v>
      </c>
      <c r="J178" s="220">
        <f t="shared" si="76"/>
        <v>370000</v>
      </c>
      <c r="K178" s="46">
        <f t="shared" si="76"/>
        <v>0</v>
      </c>
      <c r="L178" s="221">
        <f t="shared" si="76"/>
        <v>0</v>
      </c>
      <c r="M178" s="221">
        <f t="shared" si="76"/>
        <v>0</v>
      </c>
      <c r="N178" s="221">
        <f t="shared" si="76"/>
        <v>0</v>
      </c>
      <c r="O178" s="221">
        <f t="shared" si="76"/>
        <v>600000</v>
      </c>
      <c r="P178" s="221">
        <f t="shared" si="76"/>
        <v>0</v>
      </c>
      <c r="Q178" s="221">
        <f t="shared" si="76"/>
        <v>666500</v>
      </c>
      <c r="R178" s="221">
        <f t="shared" si="76"/>
        <v>666500</v>
      </c>
      <c r="S178" s="221">
        <f t="shared" si="76"/>
        <v>0</v>
      </c>
      <c r="T178" s="222">
        <f t="shared" si="76"/>
        <v>600000</v>
      </c>
      <c r="U178" s="222">
        <f t="shared" si="76"/>
        <v>0</v>
      </c>
      <c r="V178" s="221">
        <f t="shared" si="76"/>
        <v>0</v>
      </c>
      <c r="W178" s="221">
        <f t="shared" si="76"/>
        <v>0</v>
      </c>
      <c r="X178" s="222">
        <f t="shared" si="76"/>
        <v>0</v>
      </c>
      <c r="Y178" s="220">
        <f>Y179</f>
        <v>0</v>
      </c>
      <c r="Z178" s="221">
        <f>Z179</f>
        <v>0</v>
      </c>
    </row>
    <row r="179" spans="1:26" s="206" customFormat="1" ht="18.75" x14ac:dyDescent="0.2">
      <c r="A179" s="204"/>
      <c r="B179" s="212" t="s">
        <v>22</v>
      </c>
      <c r="C179" s="77" t="s">
        <v>74</v>
      </c>
      <c r="D179" s="79" t="s">
        <v>133</v>
      </c>
      <c r="E179" s="66" t="s">
        <v>135</v>
      </c>
      <c r="F179" s="66" t="s">
        <v>135</v>
      </c>
      <c r="G179" s="79" t="s">
        <v>454</v>
      </c>
      <c r="H179" s="67" t="s">
        <v>135</v>
      </c>
      <c r="I179" s="291" t="s">
        <v>23</v>
      </c>
      <c r="J179" s="220">
        <f>200000+70000+100000</f>
        <v>370000</v>
      </c>
      <c r="K179" s="46">
        <v>0</v>
      </c>
      <c r="L179" s="221">
        <v>0</v>
      </c>
      <c r="M179" s="221">
        <v>0</v>
      </c>
      <c r="N179" s="221">
        <v>0</v>
      </c>
      <c r="O179" s="221">
        <v>600000</v>
      </c>
      <c r="P179" s="221">
        <v>0</v>
      </c>
      <c r="Q179" s="221">
        <f>566500+100000</f>
        <v>666500</v>
      </c>
      <c r="R179" s="221">
        <f>Q179</f>
        <v>666500</v>
      </c>
      <c r="S179" s="221">
        <v>0</v>
      </c>
      <c r="T179" s="222">
        <v>600000</v>
      </c>
      <c r="U179" s="222">
        <v>0</v>
      </c>
      <c r="V179" s="221">
        <v>0</v>
      </c>
      <c r="W179" s="221">
        <v>0</v>
      </c>
      <c r="X179" s="222">
        <v>0</v>
      </c>
      <c r="Y179" s="220">
        <v>0</v>
      </c>
      <c r="Z179" s="221">
        <v>0</v>
      </c>
    </row>
    <row r="180" spans="1:26" s="206" customFormat="1" ht="12" customHeight="1" x14ac:dyDescent="0.2">
      <c r="A180" s="204"/>
      <c r="B180" s="280"/>
      <c r="C180" s="84"/>
      <c r="D180" s="86"/>
      <c r="E180" s="88"/>
      <c r="F180" s="88"/>
      <c r="G180" s="86"/>
      <c r="H180" s="90"/>
      <c r="I180" s="234"/>
      <c r="J180" s="220"/>
      <c r="K180" s="46"/>
      <c r="L180" s="221"/>
      <c r="M180" s="221"/>
      <c r="N180" s="221"/>
      <c r="O180" s="221"/>
      <c r="P180" s="221"/>
      <c r="Q180" s="221"/>
      <c r="R180" s="221"/>
      <c r="S180" s="221"/>
      <c r="T180" s="222"/>
      <c r="U180" s="222"/>
      <c r="V180" s="221"/>
      <c r="W180" s="221"/>
      <c r="X180" s="222"/>
      <c r="Y180" s="220"/>
      <c r="Z180" s="238"/>
    </row>
    <row r="181" spans="1:26" ht="13.5" customHeight="1" x14ac:dyDescent="0.2">
      <c r="A181" s="188"/>
      <c r="B181" s="258"/>
      <c r="C181" s="299"/>
      <c r="D181" s="300"/>
      <c r="E181" s="300"/>
      <c r="F181" s="300"/>
      <c r="G181" s="300"/>
      <c r="H181" s="291"/>
      <c r="I181" s="260"/>
      <c r="J181" s="220"/>
      <c r="K181" s="46"/>
      <c r="L181" s="274"/>
      <c r="M181" s="274"/>
      <c r="N181" s="274"/>
      <c r="O181" s="275"/>
      <c r="P181" s="275"/>
      <c r="Q181" s="274"/>
      <c r="R181" s="274"/>
      <c r="S181" s="275"/>
      <c r="T181" s="276"/>
      <c r="U181" s="276"/>
      <c r="V181" s="275"/>
      <c r="W181" s="275"/>
      <c r="X181" s="276"/>
      <c r="Y181" s="273"/>
      <c r="Z181" s="275"/>
    </row>
    <row r="182" spans="1:26" s="206" customFormat="1" ht="31.5" x14ac:dyDescent="0.2">
      <c r="A182" s="301"/>
      <c r="B182" s="198" t="s">
        <v>362</v>
      </c>
      <c r="C182" s="302" t="s">
        <v>75</v>
      </c>
      <c r="D182" s="227" t="s">
        <v>135</v>
      </c>
      <c r="E182" s="227" t="s">
        <v>135</v>
      </c>
      <c r="F182" s="227" t="s">
        <v>135</v>
      </c>
      <c r="G182" s="227" t="s">
        <v>136</v>
      </c>
      <c r="H182" s="228" t="s">
        <v>135</v>
      </c>
      <c r="I182" s="303"/>
      <c r="J182" s="195">
        <f t="shared" ref="J182:Y184" si="77">J183</f>
        <v>990000</v>
      </c>
      <c r="K182" s="196">
        <f t="shared" si="77"/>
        <v>0</v>
      </c>
      <c r="L182" s="196">
        <f t="shared" si="77"/>
        <v>0</v>
      </c>
      <c r="M182" s="196">
        <f t="shared" si="77"/>
        <v>0</v>
      </c>
      <c r="N182" s="196">
        <f t="shared" si="77"/>
        <v>593887.29</v>
      </c>
      <c r="O182" s="197">
        <f t="shared" ref="O182:Z184" si="78">O183</f>
        <v>1700000</v>
      </c>
      <c r="P182" s="197">
        <f t="shared" si="78"/>
        <v>0</v>
      </c>
      <c r="Q182" s="196">
        <f t="shared" si="77"/>
        <v>1012612.71</v>
      </c>
      <c r="R182" s="196">
        <f t="shared" si="77"/>
        <v>1606500</v>
      </c>
      <c r="S182" s="197">
        <f t="shared" si="78"/>
        <v>1700000</v>
      </c>
      <c r="T182" s="203">
        <f t="shared" si="78"/>
        <v>1700000</v>
      </c>
      <c r="U182" s="203">
        <f t="shared" si="78"/>
        <v>0</v>
      </c>
      <c r="V182" s="197">
        <f t="shared" si="78"/>
        <v>0</v>
      </c>
      <c r="W182" s="197">
        <f t="shared" si="78"/>
        <v>1700000</v>
      </c>
      <c r="X182" s="203">
        <f t="shared" si="78"/>
        <v>1700000</v>
      </c>
      <c r="Y182" s="195">
        <f t="shared" si="78"/>
        <v>0</v>
      </c>
      <c r="Z182" s="197">
        <f t="shared" si="78"/>
        <v>1700000</v>
      </c>
    </row>
    <row r="183" spans="1:26" ht="89.25" x14ac:dyDescent="0.2">
      <c r="A183" s="304"/>
      <c r="B183" s="207" t="s">
        <v>308</v>
      </c>
      <c r="C183" s="103" t="s">
        <v>75</v>
      </c>
      <c r="D183" s="66" t="s">
        <v>135</v>
      </c>
      <c r="E183" s="66" t="s">
        <v>135</v>
      </c>
      <c r="F183" s="66" t="s">
        <v>135</v>
      </c>
      <c r="G183" s="66" t="s">
        <v>197</v>
      </c>
      <c r="H183" s="67" t="s">
        <v>137</v>
      </c>
      <c r="I183" s="214"/>
      <c r="J183" s="118">
        <f t="shared" si="77"/>
        <v>990000</v>
      </c>
      <c r="K183" s="209">
        <f t="shared" si="77"/>
        <v>0</v>
      </c>
      <c r="L183" s="209">
        <f t="shared" si="77"/>
        <v>0</v>
      </c>
      <c r="M183" s="209">
        <f t="shared" si="77"/>
        <v>0</v>
      </c>
      <c r="N183" s="209">
        <f t="shared" si="77"/>
        <v>593887.29</v>
      </c>
      <c r="O183" s="210">
        <f t="shared" si="78"/>
        <v>1700000</v>
      </c>
      <c r="P183" s="210">
        <f t="shared" si="78"/>
        <v>0</v>
      </c>
      <c r="Q183" s="209">
        <f t="shared" si="77"/>
        <v>1012612.71</v>
      </c>
      <c r="R183" s="209">
        <f t="shared" si="77"/>
        <v>1606500</v>
      </c>
      <c r="S183" s="210">
        <f t="shared" si="78"/>
        <v>1700000</v>
      </c>
      <c r="T183" s="211">
        <f t="shared" si="78"/>
        <v>1700000</v>
      </c>
      <c r="U183" s="211">
        <f t="shared" si="78"/>
        <v>0</v>
      </c>
      <c r="V183" s="210">
        <f t="shared" si="78"/>
        <v>0</v>
      </c>
      <c r="W183" s="210">
        <f t="shared" si="78"/>
        <v>1700000</v>
      </c>
      <c r="X183" s="211">
        <f t="shared" si="78"/>
        <v>1700000</v>
      </c>
      <c r="Y183" s="118">
        <f t="shared" si="78"/>
        <v>0</v>
      </c>
      <c r="Z183" s="210">
        <f t="shared" si="78"/>
        <v>1700000</v>
      </c>
    </row>
    <row r="184" spans="1:26" x14ac:dyDescent="0.2">
      <c r="A184" s="304"/>
      <c r="B184" s="212" t="s">
        <v>56</v>
      </c>
      <c r="C184" s="103" t="s">
        <v>75</v>
      </c>
      <c r="D184" s="66" t="s">
        <v>135</v>
      </c>
      <c r="E184" s="66" t="s">
        <v>135</v>
      </c>
      <c r="F184" s="66" t="s">
        <v>135</v>
      </c>
      <c r="G184" s="66" t="s">
        <v>197</v>
      </c>
      <c r="H184" s="67" t="s">
        <v>137</v>
      </c>
      <c r="I184" s="214" t="s">
        <v>57</v>
      </c>
      <c r="J184" s="118">
        <f t="shared" si="77"/>
        <v>990000</v>
      </c>
      <c r="K184" s="209">
        <f t="shared" si="77"/>
        <v>0</v>
      </c>
      <c r="L184" s="216">
        <f t="shared" si="77"/>
        <v>0</v>
      </c>
      <c r="M184" s="216">
        <f t="shared" si="77"/>
        <v>0</v>
      </c>
      <c r="N184" s="216">
        <f t="shared" si="77"/>
        <v>593887.29</v>
      </c>
      <c r="O184" s="216">
        <f t="shared" si="77"/>
        <v>1700000</v>
      </c>
      <c r="P184" s="216">
        <f t="shared" si="77"/>
        <v>0</v>
      </c>
      <c r="Q184" s="216">
        <f t="shared" si="77"/>
        <v>1012612.71</v>
      </c>
      <c r="R184" s="216">
        <f t="shared" si="77"/>
        <v>1606500</v>
      </c>
      <c r="S184" s="216">
        <f t="shared" si="77"/>
        <v>1700000</v>
      </c>
      <c r="T184" s="216">
        <f t="shared" si="77"/>
        <v>1700000</v>
      </c>
      <c r="U184" s="216">
        <f t="shared" si="77"/>
        <v>0</v>
      </c>
      <c r="V184" s="216">
        <f t="shared" si="77"/>
        <v>0</v>
      </c>
      <c r="W184" s="216">
        <f t="shared" si="77"/>
        <v>1700000</v>
      </c>
      <c r="X184" s="216">
        <f t="shared" si="77"/>
        <v>1700000</v>
      </c>
      <c r="Y184" s="215">
        <f t="shared" si="77"/>
        <v>0</v>
      </c>
      <c r="Z184" s="216">
        <f t="shared" si="78"/>
        <v>1700000</v>
      </c>
    </row>
    <row r="185" spans="1:26" ht="25.5" x14ac:dyDescent="0.2">
      <c r="A185" s="304"/>
      <c r="B185" s="212" t="s">
        <v>58</v>
      </c>
      <c r="C185" s="103" t="s">
        <v>75</v>
      </c>
      <c r="D185" s="66" t="s">
        <v>135</v>
      </c>
      <c r="E185" s="66" t="s">
        <v>135</v>
      </c>
      <c r="F185" s="66" t="s">
        <v>135</v>
      </c>
      <c r="G185" s="66" t="s">
        <v>197</v>
      </c>
      <c r="H185" s="67" t="s">
        <v>137</v>
      </c>
      <c r="I185" s="214" t="s">
        <v>59</v>
      </c>
      <c r="J185" s="118">
        <v>990000</v>
      </c>
      <c r="K185" s="209">
        <v>0</v>
      </c>
      <c r="L185" s="216">
        <v>0</v>
      </c>
      <c r="M185" s="216">
        <v>0</v>
      </c>
      <c r="N185" s="216">
        <v>593887.29</v>
      </c>
      <c r="O185" s="216">
        <v>1700000</v>
      </c>
      <c r="P185" s="216">
        <v>0</v>
      </c>
      <c r="Q185" s="216">
        <v>1012612.71</v>
      </c>
      <c r="R185" s="216">
        <f>Q185+N185</f>
        <v>1606500</v>
      </c>
      <c r="S185" s="216">
        <v>1700000</v>
      </c>
      <c r="T185" s="216">
        <v>1700000</v>
      </c>
      <c r="U185" s="216">
        <v>0</v>
      </c>
      <c r="V185" s="216">
        <v>0</v>
      </c>
      <c r="W185" s="216">
        <v>1700000</v>
      </c>
      <c r="X185" s="216">
        <v>1700000</v>
      </c>
      <c r="Y185" s="215">
        <v>0</v>
      </c>
      <c r="Z185" s="216">
        <v>1700000</v>
      </c>
    </row>
    <row r="186" spans="1:26" ht="8.25" customHeight="1" x14ac:dyDescent="0.2">
      <c r="A186" s="304"/>
      <c r="B186" s="280"/>
      <c r="C186" s="305"/>
      <c r="D186" s="144"/>
      <c r="E186" s="144"/>
      <c r="F186" s="144"/>
      <c r="G186" s="144"/>
      <c r="H186" s="306"/>
      <c r="I186" s="307"/>
      <c r="J186" s="288"/>
      <c r="K186" s="264"/>
      <c r="L186" s="264"/>
      <c r="M186" s="264"/>
      <c r="N186" s="264"/>
      <c r="O186" s="265"/>
      <c r="P186" s="265"/>
      <c r="Q186" s="264"/>
      <c r="R186" s="264"/>
      <c r="S186" s="265"/>
      <c r="T186" s="266"/>
      <c r="U186" s="266"/>
      <c r="V186" s="265"/>
      <c r="W186" s="265"/>
      <c r="X186" s="266"/>
      <c r="Y186" s="288"/>
      <c r="Z186" s="265"/>
    </row>
    <row r="187" spans="1:26" s="206" customFormat="1" ht="56.25" customHeight="1" x14ac:dyDescent="0.2">
      <c r="A187" s="301"/>
      <c r="B187" s="198" t="s">
        <v>326</v>
      </c>
      <c r="C187" s="308" t="s">
        <v>86</v>
      </c>
      <c r="D187" s="253" t="s">
        <v>135</v>
      </c>
      <c r="E187" s="253" t="s">
        <v>135</v>
      </c>
      <c r="F187" s="253" t="s">
        <v>135</v>
      </c>
      <c r="G187" s="253" t="s">
        <v>136</v>
      </c>
      <c r="H187" s="241" t="s">
        <v>135</v>
      </c>
      <c r="I187" s="303"/>
      <c r="J187" s="254">
        <f t="shared" ref="J187:N189" si="79">J188</f>
        <v>540000</v>
      </c>
      <c r="K187" s="255">
        <f t="shared" si="79"/>
        <v>0</v>
      </c>
      <c r="L187" s="255">
        <f t="shared" si="79"/>
        <v>0</v>
      </c>
      <c r="M187" s="255">
        <f t="shared" si="79"/>
        <v>0</v>
      </c>
      <c r="N187" s="255">
        <f t="shared" si="79"/>
        <v>3349713.18</v>
      </c>
      <c r="O187" s="256">
        <f t="shared" ref="O187:Z189" si="80">O188</f>
        <v>720000</v>
      </c>
      <c r="P187" s="256">
        <f t="shared" si="80"/>
        <v>0</v>
      </c>
      <c r="Q187" s="255">
        <f t="shared" si="80"/>
        <v>100000</v>
      </c>
      <c r="R187" s="255">
        <f t="shared" si="80"/>
        <v>3449713.18</v>
      </c>
      <c r="S187" s="256">
        <f t="shared" si="80"/>
        <v>720000</v>
      </c>
      <c r="T187" s="257">
        <f t="shared" si="80"/>
        <v>720000</v>
      </c>
      <c r="U187" s="257">
        <f t="shared" si="80"/>
        <v>0</v>
      </c>
      <c r="V187" s="256">
        <f t="shared" si="80"/>
        <v>0</v>
      </c>
      <c r="W187" s="256">
        <f t="shared" si="80"/>
        <v>720000</v>
      </c>
      <c r="X187" s="257">
        <f t="shared" si="80"/>
        <v>720000</v>
      </c>
      <c r="Y187" s="254">
        <f t="shared" si="80"/>
        <v>0</v>
      </c>
      <c r="Z187" s="256">
        <f t="shared" si="80"/>
        <v>720000</v>
      </c>
    </row>
    <row r="188" spans="1:26" ht="60.75" customHeight="1" x14ac:dyDescent="0.2">
      <c r="A188" s="304"/>
      <c r="B188" s="207" t="s">
        <v>310</v>
      </c>
      <c r="C188" s="103" t="s">
        <v>86</v>
      </c>
      <c r="D188" s="66" t="s">
        <v>135</v>
      </c>
      <c r="E188" s="66" t="s">
        <v>135</v>
      </c>
      <c r="F188" s="66" t="s">
        <v>135</v>
      </c>
      <c r="G188" s="66" t="s">
        <v>211</v>
      </c>
      <c r="H188" s="67" t="s">
        <v>309</v>
      </c>
      <c r="I188" s="214"/>
      <c r="J188" s="118">
        <f t="shared" si="79"/>
        <v>540000</v>
      </c>
      <c r="K188" s="209">
        <f t="shared" si="79"/>
        <v>0</v>
      </c>
      <c r="L188" s="209">
        <f t="shared" si="79"/>
        <v>0</v>
      </c>
      <c r="M188" s="209">
        <f t="shared" si="79"/>
        <v>0</v>
      </c>
      <c r="N188" s="209">
        <f t="shared" si="79"/>
        <v>3349713.18</v>
      </c>
      <c r="O188" s="210">
        <f t="shared" si="80"/>
        <v>720000</v>
      </c>
      <c r="P188" s="210">
        <f t="shared" si="80"/>
        <v>0</v>
      </c>
      <c r="Q188" s="209">
        <f t="shared" si="80"/>
        <v>100000</v>
      </c>
      <c r="R188" s="209">
        <f t="shared" si="80"/>
        <v>3449713.18</v>
      </c>
      <c r="S188" s="210">
        <f t="shared" si="80"/>
        <v>720000</v>
      </c>
      <c r="T188" s="211">
        <f t="shared" si="80"/>
        <v>720000</v>
      </c>
      <c r="U188" s="211">
        <f t="shared" si="80"/>
        <v>0</v>
      </c>
      <c r="V188" s="210">
        <f t="shared" si="80"/>
        <v>0</v>
      </c>
      <c r="W188" s="210">
        <f t="shared" si="80"/>
        <v>720000</v>
      </c>
      <c r="X188" s="211">
        <f t="shared" si="80"/>
        <v>720000</v>
      </c>
      <c r="Y188" s="118">
        <f t="shared" si="80"/>
        <v>0</v>
      </c>
      <c r="Z188" s="210">
        <f t="shared" si="80"/>
        <v>720000</v>
      </c>
    </row>
    <row r="189" spans="1:26" x14ac:dyDescent="0.2">
      <c r="A189" s="304"/>
      <c r="B189" s="212" t="s">
        <v>56</v>
      </c>
      <c r="C189" s="103" t="s">
        <v>86</v>
      </c>
      <c r="D189" s="66" t="s">
        <v>135</v>
      </c>
      <c r="E189" s="66" t="s">
        <v>135</v>
      </c>
      <c r="F189" s="66" t="s">
        <v>135</v>
      </c>
      <c r="G189" s="66" t="s">
        <v>211</v>
      </c>
      <c r="H189" s="67" t="s">
        <v>309</v>
      </c>
      <c r="I189" s="214" t="s">
        <v>57</v>
      </c>
      <c r="J189" s="118">
        <f t="shared" si="79"/>
        <v>540000</v>
      </c>
      <c r="K189" s="209">
        <f t="shared" si="79"/>
        <v>0</v>
      </c>
      <c r="L189" s="216">
        <f t="shared" si="79"/>
        <v>0</v>
      </c>
      <c r="M189" s="216">
        <f t="shared" si="79"/>
        <v>0</v>
      </c>
      <c r="N189" s="216">
        <f t="shared" si="79"/>
        <v>3349713.18</v>
      </c>
      <c r="O189" s="216">
        <f t="shared" si="80"/>
        <v>720000</v>
      </c>
      <c r="P189" s="216">
        <f t="shared" si="80"/>
        <v>0</v>
      </c>
      <c r="Q189" s="216">
        <f t="shared" si="80"/>
        <v>100000</v>
      </c>
      <c r="R189" s="216">
        <f t="shared" si="80"/>
        <v>3449713.18</v>
      </c>
      <c r="S189" s="216">
        <f t="shared" si="80"/>
        <v>720000</v>
      </c>
      <c r="T189" s="216">
        <f t="shared" si="80"/>
        <v>720000</v>
      </c>
      <c r="U189" s="216">
        <f t="shared" si="80"/>
        <v>0</v>
      </c>
      <c r="V189" s="216">
        <f t="shared" si="80"/>
        <v>0</v>
      </c>
      <c r="W189" s="216">
        <f t="shared" si="80"/>
        <v>720000</v>
      </c>
      <c r="X189" s="216">
        <f t="shared" si="80"/>
        <v>720000</v>
      </c>
      <c r="Y189" s="215">
        <f t="shared" si="80"/>
        <v>0</v>
      </c>
      <c r="Z189" s="216">
        <f t="shared" si="80"/>
        <v>720000</v>
      </c>
    </row>
    <row r="190" spans="1:26" ht="25.5" x14ac:dyDescent="0.2">
      <c r="A190" s="304"/>
      <c r="B190" s="212" t="s">
        <v>58</v>
      </c>
      <c r="C190" s="103" t="s">
        <v>86</v>
      </c>
      <c r="D190" s="66" t="s">
        <v>135</v>
      </c>
      <c r="E190" s="66" t="s">
        <v>135</v>
      </c>
      <c r="F190" s="66" t="s">
        <v>135</v>
      </c>
      <c r="G190" s="66" t="s">
        <v>211</v>
      </c>
      <c r="H190" s="67" t="s">
        <v>309</v>
      </c>
      <c r="I190" s="214" t="s">
        <v>59</v>
      </c>
      <c r="J190" s="118">
        <v>540000</v>
      </c>
      <c r="K190" s="209">
        <v>0</v>
      </c>
      <c r="L190" s="216">
        <v>0</v>
      </c>
      <c r="M190" s="216">
        <v>0</v>
      </c>
      <c r="N190" s="216">
        <v>3349713.18</v>
      </c>
      <c r="O190" s="216">
        <v>720000</v>
      </c>
      <c r="P190" s="216">
        <v>0</v>
      </c>
      <c r="Q190" s="216">
        <v>100000</v>
      </c>
      <c r="R190" s="216">
        <f>Q190+N190</f>
        <v>3449713.18</v>
      </c>
      <c r="S190" s="216">
        <v>720000</v>
      </c>
      <c r="T190" s="216">
        <v>720000</v>
      </c>
      <c r="U190" s="216">
        <v>0</v>
      </c>
      <c r="V190" s="216">
        <v>0</v>
      </c>
      <c r="W190" s="216">
        <v>720000</v>
      </c>
      <c r="X190" s="216">
        <v>720000</v>
      </c>
      <c r="Y190" s="215">
        <v>0</v>
      </c>
      <c r="Z190" s="216">
        <v>720000</v>
      </c>
    </row>
    <row r="191" spans="1:26" ht="5.25" customHeight="1" x14ac:dyDescent="0.2">
      <c r="A191" s="304"/>
      <c r="B191" s="280"/>
      <c r="C191" s="129"/>
      <c r="D191" s="88"/>
      <c r="E191" s="88"/>
      <c r="F191" s="88"/>
      <c r="G191" s="88"/>
      <c r="H191" s="90"/>
      <c r="I191" s="307"/>
      <c r="J191" s="288"/>
      <c r="K191" s="264"/>
      <c r="L191" s="264"/>
      <c r="M191" s="264"/>
      <c r="N191" s="264"/>
      <c r="O191" s="265"/>
      <c r="P191" s="265"/>
      <c r="Q191" s="264"/>
      <c r="R191" s="264"/>
      <c r="S191" s="265"/>
      <c r="T191" s="266"/>
      <c r="U191" s="266"/>
      <c r="V191" s="265"/>
      <c r="W191" s="265"/>
      <c r="X191" s="266"/>
      <c r="Y191" s="288"/>
      <c r="Z191" s="265"/>
    </row>
    <row r="192" spans="1:26" ht="7.5" customHeight="1" x14ac:dyDescent="0.2">
      <c r="A192" s="304"/>
      <c r="B192" s="212"/>
      <c r="C192" s="117"/>
      <c r="D192" s="72"/>
      <c r="E192" s="72"/>
      <c r="F192" s="72"/>
      <c r="G192" s="72"/>
      <c r="H192" s="309"/>
      <c r="I192" s="214"/>
      <c r="J192" s="310"/>
      <c r="K192" s="311"/>
      <c r="L192" s="311"/>
      <c r="M192" s="311"/>
      <c r="N192" s="311"/>
      <c r="O192" s="312"/>
      <c r="P192" s="312"/>
      <c r="Q192" s="311"/>
      <c r="R192" s="311"/>
      <c r="S192" s="312"/>
      <c r="T192" s="313"/>
      <c r="U192" s="313"/>
      <c r="V192" s="312"/>
      <c r="W192" s="312"/>
      <c r="X192" s="313"/>
      <c r="Y192" s="310"/>
      <c r="Z192" s="312"/>
    </row>
    <row r="193" spans="1:26" s="206" customFormat="1" ht="47.25" x14ac:dyDescent="0.2">
      <c r="A193" s="301"/>
      <c r="B193" s="198" t="s">
        <v>325</v>
      </c>
      <c r="C193" s="302" t="s">
        <v>88</v>
      </c>
      <c r="D193" s="227" t="s">
        <v>135</v>
      </c>
      <c r="E193" s="227" t="s">
        <v>135</v>
      </c>
      <c r="F193" s="227" t="s">
        <v>135</v>
      </c>
      <c r="G193" s="227" t="s">
        <v>136</v>
      </c>
      <c r="H193" s="228" t="s">
        <v>135</v>
      </c>
      <c r="I193" s="303"/>
      <c r="J193" s="195">
        <f t="shared" ref="J193:Z193" si="81">J194</f>
        <v>1584000</v>
      </c>
      <c r="K193" s="196">
        <f t="shared" si="81"/>
        <v>0</v>
      </c>
      <c r="L193" s="196">
        <f t="shared" si="81"/>
        <v>0</v>
      </c>
      <c r="M193" s="196">
        <f t="shared" si="81"/>
        <v>0</v>
      </c>
      <c r="N193" s="196">
        <f t="shared" si="81"/>
        <v>0</v>
      </c>
      <c r="O193" s="197">
        <f t="shared" si="81"/>
        <v>1573000</v>
      </c>
      <c r="P193" s="197">
        <f t="shared" si="81"/>
        <v>0</v>
      </c>
      <c r="Q193" s="196">
        <f t="shared" si="81"/>
        <v>0</v>
      </c>
      <c r="R193" s="196">
        <f t="shared" si="81"/>
        <v>0</v>
      </c>
      <c r="S193" s="197">
        <f t="shared" si="81"/>
        <v>1573000</v>
      </c>
      <c r="T193" s="203">
        <f t="shared" si="81"/>
        <v>1573000</v>
      </c>
      <c r="U193" s="203">
        <f t="shared" si="81"/>
        <v>0</v>
      </c>
      <c r="V193" s="197">
        <f t="shared" si="81"/>
        <v>0</v>
      </c>
      <c r="W193" s="197">
        <f t="shared" si="81"/>
        <v>1573000</v>
      </c>
      <c r="X193" s="203">
        <f t="shared" si="81"/>
        <v>1573000</v>
      </c>
      <c r="Y193" s="195">
        <f t="shared" si="81"/>
        <v>0</v>
      </c>
      <c r="Z193" s="197">
        <f t="shared" si="81"/>
        <v>1573000</v>
      </c>
    </row>
    <row r="194" spans="1:26" x14ac:dyDescent="0.2">
      <c r="A194" s="304"/>
      <c r="B194" s="212" t="s">
        <v>138</v>
      </c>
      <c r="C194" s="117" t="s">
        <v>88</v>
      </c>
      <c r="D194" s="72" t="s">
        <v>135</v>
      </c>
      <c r="E194" s="72" t="s">
        <v>135</v>
      </c>
      <c r="F194" s="72" t="s">
        <v>135</v>
      </c>
      <c r="G194" s="72" t="s">
        <v>139</v>
      </c>
      <c r="H194" s="67" t="s">
        <v>135</v>
      </c>
      <c r="I194" s="214"/>
      <c r="J194" s="118">
        <f t="shared" ref="J194:X194" si="82">J197+J195</f>
        <v>1584000</v>
      </c>
      <c r="K194" s="209">
        <f t="shared" si="82"/>
        <v>0</v>
      </c>
      <c r="L194" s="209">
        <f t="shared" si="82"/>
        <v>0</v>
      </c>
      <c r="M194" s="209">
        <f t="shared" si="82"/>
        <v>0</v>
      </c>
      <c r="N194" s="209">
        <f t="shared" si="82"/>
        <v>0</v>
      </c>
      <c r="O194" s="210">
        <f t="shared" si="82"/>
        <v>1573000</v>
      </c>
      <c r="P194" s="210">
        <f t="shared" si="82"/>
        <v>0</v>
      </c>
      <c r="Q194" s="209">
        <f>Q197+Q195</f>
        <v>0</v>
      </c>
      <c r="R194" s="209">
        <f>R197+R195</f>
        <v>0</v>
      </c>
      <c r="S194" s="210">
        <f t="shared" si="82"/>
        <v>1573000</v>
      </c>
      <c r="T194" s="211">
        <f t="shared" si="82"/>
        <v>1573000</v>
      </c>
      <c r="U194" s="211">
        <f t="shared" si="82"/>
        <v>0</v>
      </c>
      <c r="V194" s="210">
        <f>V197+V195</f>
        <v>0</v>
      </c>
      <c r="W194" s="210">
        <f>W197+W195</f>
        <v>1573000</v>
      </c>
      <c r="X194" s="211">
        <f t="shared" si="82"/>
        <v>1573000</v>
      </c>
      <c r="Y194" s="118">
        <f>Y197+Y195</f>
        <v>0</v>
      </c>
      <c r="Z194" s="210">
        <f>Z197+Z195</f>
        <v>1573000</v>
      </c>
    </row>
    <row r="195" spans="1:26" ht="25.5" x14ac:dyDescent="0.2">
      <c r="A195" s="304"/>
      <c r="B195" s="212" t="s">
        <v>52</v>
      </c>
      <c r="C195" s="117" t="s">
        <v>88</v>
      </c>
      <c r="D195" s="72" t="s">
        <v>135</v>
      </c>
      <c r="E195" s="72" t="s">
        <v>135</v>
      </c>
      <c r="F195" s="72" t="s">
        <v>135</v>
      </c>
      <c r="G195" s="72" t="s">
        <v>139</v>
      </c>
      <c r="H195" s="67" t="s">
        <v>135</v>
      </c>
      <c r="I195" s="214" t="s">
        <v>53</v>
      </c>
      <c r="J195" s="118">
        <f t="shared" ref="J195:Z195" si="83">J196</f>
        <v>400000</v>
      </c>
      <c r="K195" s="209">
        <f t="shared" si="83"/>
        <v>0</v>
      </c>
      <c r="L195" s="216">
        <f t="shared" si="83"/>
        <v>0</v>
      </c>
      <c r="M195" s="216">
        <f t="shared" si="83"/>
        <v>0</v>
      </c>
      <c r="N195" s="216">
        <f t="shared" si="83"/>
        <v>0</v>
      </c>
      <c r="O195" s="216">
        <f t="shared" si="83"/>
        <v>23000</v>
      </c>
      <c r="P195" s="216">
        <f t="shared" si="83"/>
        <v>0</v>
      </c>
      <c r="Q195" s="216">
        <f t="shared" si="83"/>
        <v>0</v>
      </c>
      <c r="R195" s="216">
        <f t="shared" si="83"/>
        <v>0</v>
      </c>
      <c r="S195" s="216">
        <f t="shared" si="83"/>
        <v>23000</v>
      </c>
      <c r="T195" s="216">
        <f t="shared" si="83"/>
        <v>23000</v>
      </c>
      <c r="U195" s="216">
        <f t="shared" si="83"/>
        <v>0</v>
      </c>
      <c r="V195" s="216">
        <f t="shared" si="83"/>
        <v>0</v>
      </c>
      <c r="W195" s="216">
        <f t="shared" si="83"/>
        <v>23000</v>
      </c>
      <c r="X195" s="216">
        <f t="shared" si="83"/>
        <v>23000</v>
      </c>
      <c r="Y195" s="215">
        <f t="shared" si="83"/>
        <v>0</v>
      </c>
      <c r="Z195" s="216">
        <f t="shared" si="83"/>
        <v>23000</v>
      </c>
    </row>
    <row r="196" spans="1:26" ht="25.5" x14ac:dyDescent="0.2">
      <c r="A196" s="304"/>
      <c r="B196" s="212" t="s">
        <v>54</v>
      </c>
      <c r="C196" s="117" t="s">
        <v>88</v>
      </c>
      <c r="D196" s="72" t="s">
        <v>135</v>
      </c>
      <c r="E196" s="72" t="s">
        <v>135</v>
      </c>
      <c r="F196" s="72" t="s">
        <v>135</v>
      </c>
      <c r="G196" s="72" t="s">
        <v>139</v>
      </c>
      <c r="H196" s="67" t="s">
        <v>135</v>
      </c>
      <c r="I196" s="214" t="s">
        <v>55</v>
      </c>
      <c r="J196" s="118">
        <v>400000</v>
      </c>
      <c r="K196" s="209">
        <v>0</v>
      </c>
      <c r="L196" s="216">
        <v>0</v>
      </c>
      <c r="M196" s="216">
        <v>0</v>
      </c>
      <c r="N196" s="216">
        <v>0</v>
      </c>
      <c r="O196" s="216">
        <v>23000</v>
      </c>
      <c r="P196" s="216">
        <v>0</v>
      </c>
      <c r="Q196" s="216">
        <v>0</v>
      </c>
      <c r="R196" s="216">
        <v>0</v>
      </c>
      <c r="S196" s="216">
        <v>23000</v>
      </c>
      <c r="T196" s="216">
        <v>23000</v>
      </c>
      <c r="U196" s="216">
        <v>0</v>
      </c>
      <c r="V196" s="216">
        <v>0</v>
      </c>
      <c r="W196" s="216">
        <v>23000</v>
      </c>
      <c r="X196" s="216">
        <v>23000</v>
      </c>
      <c r="Y196" s="215">
        <v>0</v>
      </c>
      <c r="Z196" s="216">
        <v>23000</v>
      </c>
    </row>
    <row r="197" spans="1:26" x14ac:dyDescent="0.2">
      <c r="A197" s="304"/>
      <c r="B197" s="212" t="s">
        <v>62</v>
      </c>
      <c r="C197" s="314" t="s">
        <v>88</v>
      </c>
      <c r="D197" s="73" t="s">
        <v>135</v>
      </c>
      <c r="E197" s="72" t="s">
        <v>135</v>
      </c>
      <c r="F197" s="72" t="s">
        <v>135</v>
      </c>
      <c r="G197" s="74" t="s">
        <v>139</v>
      </c>
      <c r="H197" s="67" t="s">
        <v>135</v>
      </c>
      <c r="I197" s="208" t="s">
        <v>63</v>
      </c>
      <c r="J197" s="118">
        <f t="shared" ref="J197:Z197" si="84">J198</f>
        <v>1184000</v>
      </c>
      <c r="K197" s="209">
        <f t="shared" si="84"/>
        <v>0</v>
      </c>
      <c r="L197" s="216">
        <f t="shared" si="84"/>
        <v>0</v>
      </c>
      <c r="M197" s="216">
        <f t="shared" si="84"/>
        <v>0</v>
      </c>
      <c r="N197" s="216">
        <f t="shared" si="84"/>
        <v>0</v>
      </c>
      <c r="O197" s="216">
        <f t="shared" si="84"/>
        <v>1550000</v>
      </c>
      <c r="P197" s="216">
        <f t="shared" si="84"/>
        <v>0</v>
      </c>
      <c r="Q197" s="216">
        <f t="shared" si="84"/>
        <v>0</v>
      </c>
      <c r="R197" s="216">
        <f t="shared" si="84"/>
        <v>0</v>
      </c>
      <c r="S197" s="216">
        <f t="shared" si="84"/>
        <v>1550000</v>
      </c>
      <c r="T197" s="216">
        <f t="shared" si="84"/>
        <v>1550000</v>
      </c>
      <c r="U197" s="216">
        <f t="shared" si="84"/>
        <v>0</v>
      </c>
      <c r="V197" s="216">
        <f t="shared" si="84"/>
        <v>0</v>
      </c>
      <c r="W197" s="216">
        <f t="shared" si="84"/>
        <v>1550000</v>
      </c>
      <c r="X197" s="216">
        <f t="shared" si="84"/>
        <v>1550000</v>
      </c>
      <c r="Y197" s="215">
        <f t="shared" si="84"/>
        <v>0</v>
      </c>
      <c r="Z197" s="216">
        <f t="shared" si="84"/>
        <v>1550000</v>
      </c>
    </row>
    <row r="198" spans="1:26" ht="38.25" x14ac:dyDescent="0.2">
      <c r="A198" s="304"/>
      <c r="B198" s="212" t="s">
        <v>168</v>
      </c>
      <c r="C198" s="314" t="s">
        <v>88</v>
      </c>
      <c r="D198" s="73" t="s">
        <v>135</v>
      </c>
      <c r="E198" s="72" t="s">
        <v>135</v>
      </c>
      <c r="F198" s="72" t="s">
        <v>135</v>
      </c>
      <c r="G198" s="74" t="s">
        <v>139</v>
      </c>
      <c r="H198" s="67" t="s">
        <v>135</v>
      </c>
      <c r="I198" s="208" t="s">
        <v>140</v>
      </c>
      <c r="J198" s="68">
        <v>1184000</v>
      </c>
      <c r="K198" s="215">
        <v>0</v>
      </c>
      <c r="L198" s="216">
        <v>0</v>
      </c>
      <c r="M198" s="216">
        <v>0</v>
      </c>
      <c r="N198" s="216">
        <v>0</v>
      </c>
      <c r="O198" s="216">
        <v>1550000</v>
      </c>
      <c r="P198" s="216">
        <v>0</v>
      </c>
      <c r="Q198" s="216">
        <v>0</v>
      </c>
      <c r="R198" s="216">
        <v>0</v>
      </c>
      <c r="S198" s="216">
        <v>1550000</v>
      </c>
      <c r="T198" s="216">
        <v>1550000</v>
      </c>
      <c r="U198" s="216">
        <v>0</v>
      </c>
      <c r="V198" s="216">
        <v>0</v>
      </c>
      <c r="W198" s="216">
        <v>1550000</v>
      </c>
      <c r="X198" s="216">
        <v>1550000</v>
      </c>
      <c r="Y198" s="215">
        <v>0</v>
      </c>
      <c r="Z198" s="216">
        <v>1550000</v>
      </c>
    </row>
    <row r="199" spans="1:26" x14ac:dyDescent="0.2">
      <c r="A199" s="304"/>
      <c r="B199" s="212"/>
      <c r="C199" s="315"/>
      <c r="D199" s="316"/>
      <c r="E199" s="144"/>
      <c r="F199" s="144"/>
      <c r="G199" s="145"/>
      <c r="H199" s="90"/>
      <c r="I199" s="282"/>
      <c r="J199" s="288"/>
      <c r="K199" s="264"/>
      <c r="L199" s="264"/>
      <c r="M199" s="264"/>
      <c r="N199" s="264"/>
      <c r="O199" s="265"/>
      <c r="P199" s="265"/>
      <c r="Q199" s="264"/>
      <c r="R199" s="264"/>
      <c r="S199" s="265"/>
      <c r="T199" s="266"/>
      <c r="U199" s="266"/>
      <c r="V199" s="265"/>
      <c r="W199" s="265"/>
      <c r="X199" s="266"/>
      <c r="Y199" s="288"/>
      <c r="Z199" s="265"/>
    </row>
    <row r="200" spans="1:26" ht="7.5" customHeight="1" x14ac:dyDescent="0.2">
      <c r="A200" s="304"/>
      <c r="B200" s="374"/>
      <c r="C200" s="318"/>
      <c r="D200" s="318"/>
      <c r="E200" s="318"/>
      <c r="F200" s="318"/>
      <c r="G200" s="318"/>
      <c r="H200" s="318"/>
      <c r="I200" s="242"/>
      <c r="J200" s="310"/>
      <c r="K200" s="311"/>
      <c r="L200" s="312"/>
      <c r="M200" s="312"/>
      <c r="N200" s="312"/>
      <c r="O200" s="312"/>
      <c r="P200" s="312"/>
      <c r="Q200" s="312"/>
      <c r="R200" s="312"/>
      <c r="S200" s="312"/>
      <c r="T200" s="313"/>
      <c r="U200" s="313"/>
      <c r="V200" s="312"/>
      <c r="W200" s="312"/>
      <c r="X200" s="313"/>
      <c r="Y200" s="310"/>
      <c r="Z200" s="312"/>
    </row>
    <row r="201" spans="1:26" ht="129.75" customHeight="1" x14ac:dyDescent="0.2">
      <c r="A201" s="304"/>
      <c r="B201" s="497" t="s">
        <v>363</v>
      </c>
      <c r="C201" s="200" t="s">
        <v>95</v>
      </c>
      <c r="D201" s="200" t="s">
        <v>135</v>
      </c>
      <c r="E201" s="227" t="s">
        <v>135</v>
      </c>
      <c r="F201" s="227" t="s">
        <v>135</v>
      </c>
      <c r="G201" s="200" t="s">
        <v>136</v>
      </c>
      <c r="H201" s="230" t="s">
        <v>135</v>
      </c>
      <c r="I201" s="219"/>
      <c r="J201" s="195" t="e">
        <f>#REF!+#REF!+J205+#REF!+#REF!</f>
        <v>#REF!</v>
      </c>
      <c r="K201" s="196" t="e">
        <f>#REF!+#REF!+K205+#REF!+#REF!</f>
        <v>#REF!</v>
      </c>
      <c r="L201" s="197">
        <f>L207+L212+L202</f>
        <v>43410715.479999997</v>
      </c>
      <c r="M201" s="197">
        <f>M207+M212+M202</f>
        <v>0</v>
      </c>
      <c r="N201" s="197">
        <f>N205+N212+N202+N219+N216+N213</f>
        <v>75565592.329999998</v>
      </c>
      <c r="O201" s="197">
        <f t="shared" ref="O201:S201" si="85">O205+O212+O202+O219+O216+O213</f>
        <v>148660526.49000001</v>
      </c>
      <c r="P201" s="197">
        <f t="shared" si="85"/>
        <v>0</v>
      </c>
      <c r="Q201" s="197">
        <f t="shared" si="85"/>
        <v>13303067.050000001</v>
      </c>
      <c r="R201" s="197">
        <f t="shared" si="85"/>
        <v>88868659.379999995</v>
      </c>
      <c r="S201" s="197">
        <f t="shared" si="85"/>
        <v>110457653.44</v>
      </c>
      <c r="T201" s="197">
        <f t="shared" ref="T201" si="86">T205+T212+T202+T219+T216+T213</f>
        <v>126477530.38</v>
      </c>
      <c r="U201" s="197">
        <f t="shared" ref="U201" si="87">U205+U212+U202+U219+U216+U213</f>
        <v>0</v>
      </c>
      <c r="V201" s="197">
        <f t="shared" ref="V201" si="88">V205+V212+V202+V219+V216+V213</f>
        <v>6427933.04</v>
      </c>
      <c r="W201" s="197">
        <f t="shared" ref="W201:X201" si="89">W205+W212+W202+W219+W216+W213</f>
        <v>116885586.48</v>
      </c>
      <c r="X201" s="197">
        <f t="shared" si="89"/>
        <v>88274657.329999998</v>
      </c>
      <c r="Y201" s="196">
        <f t="shared" ref="Y201" si="90">Y205+Y212+Y202+Y219+Y216+Y213</f>
        <v>6427933.04</v>
      </c>
      <c r="Z201" s="197">
        <f t="shared" ref="Z201" si="91">Z205+Z212+Z202+Z219+Z216+Z213</f>
        <v>94702590.370000005</v>
      </c>
    </row>
    <row r="202" spans="1:26" ht="53.25" customHeight="1" x14ac:dyDescent="0.2">
      <c r="A202" s="304"/>
      <c r="B202" s="362" t="s">
        <v>359</v>
      </c>
      <c r="C202" s="66" t="s">
        <v>95</v>
      </c>
      <c r="D202" s="66" t="s">
        <v>135</v>
      </c>
      <c r="E202" s="66" t="s">
        <v>135</v>
      </c>
      <c r="F202" s="66" t="s">
        <v>135</v>
      </c>
      <c r="G202" s="66" t="s">
        <v>360</v>
      </c>
      <c r="H202" s="67" t="s">
        <v>135</v>
      </c>
      <c r="I202" s="214"/>
      <c r="J202" s="195"/>
      <c r="K202" s="196"/>
      <c r="L202" s="221">
        <f t="shared" ref="L202:Z203" si="92">L203</f>
        <v>0</v>
      </c>
      <c r="M202" s="221">
        <f t="shared" si="92"/>
        <v>0</v>
      </c>
      <c r="N202" s="221">
        <f t="shared" si="92"/>
        <v>0</v>
      </c>
      <c r="O202" s="221">
        <f t="shared" si="92"/>
        <v>28280553.620000001</v>
      </c>
      <c r="P202" s="221">
        <f t="shared" si="92"/>
        <v>0</v>
      </c>
      <c r="Q202" s="221">
        <f t="shared" si="92"/>
        <v>0</v>
      </c>
      <c r="R202" s="221">
        <f t="shared" si="92"/>
        <v>0</v>
      </c>
      <c r="S202" s="221">
        <f t="shared" si="92"/>
        <v>28280553.620000001</v>
      </c>
      <c r="T202" s="222">
        <f t="shared" si="92"/>
        <v>5449262</v>
      </c>
      <c r="U202" s="222">
        <f t="shared" si="92"/>
        <v>0</v>
      </c>
      <c r="V202" s="221">
        <f t="shared" si="92"/>
        <v>0</v>
      </c>
      <c r="W202" s="221">
        <f t="shared" si="92"/>
        <v>28280553.620000001</v>
      </c>
      <c r="X202" s="222">
        <f t="shared" si="92"/>
        <v>5449262</v>
      </c>
      <c r="Y202" s="220">
        <f t="shared" si="92"/>
        <v>0</v>
      </c>
      <c r="Z202" s="221">
        <f t="shared" si="92"/>
        <v>5449262</v>
      </c>
    </row>
    <row r="203" spans="1:26" ht="27" customHeight="1" x14ac:dyDescent="0.2">
      <c r="A203" s="304"/>
      <c r="B203" s="362" t="s">
        <v>52</v>
      </c>
      <c r="C203" s="66" t="s">
        <v>95</v>
      </c>
      <c r="D203" s="66" t="s">
        <v>135</v>
      </c>
      <c r="E203" s="66" t="s">
        <v>135</v>
      </c>
      <c r="F203" s="66" t="s">
        <v>135</v>
      </c>
      <c r="G203" s="66" t="s">
        <v>360</v>
      </c>
      <c r="H203" s="67" t="s">
        <v>135</v>
      </c>
      <c r="I203" s="214" t="s">
        <v>53</v>
      </c>
      <c r="J203" s="195"/>
      <c r="K203" s="196"/>
      <c r="L203" s="224">
        <f t="shared" si="92"/>
        <v>0</v>
      </c>
      <c r="M203" s="224">
        <f t="shared" si="92"/>
        <v>0</v>
      </c>
      <c r="N203" s="224">
        <f t="shared" si="92"/>
        <v>0</v>
      </c>
      <c r="O203" s="224">
        <f t="shared" si="92"/>
        <v>28280553.620000001</v>
      </c>
      <c r="P203" s="224">
        <f t="shared" si="92"/>
        <v>0</v>
      </c>
      <c r="Q203" s="224">
        <f t="shared" si="92"/>
        <v>0</v>
      </c>
      <c r="R203" s="224">
        <f t="shared" si="92"/>
        <v>0</v>
      </c>
      <c r="S203" s="224">
        <f t="shared" si="92"/>
        <v>28280553.620000001</v>
      </c>
      <c r="T203" s="224">
        <f t="shared" si="92"/>
        <v>5449262</v>
      </c>
      <c r="U203" s="224">
        <f t="shared" si="92"/>
        <v>0</v>
      </c>
      <c r="V203" s="224">
        <f t="shared" si="92"/>
        <v>0</v>
      </c>
      <c r="W203" s="224">
        <f t="shared" si="92"/>
        <v>28280553.620000001</v>
      </c>
      <c r="X203" s="224">
        <f t="shared" si="92"/>
        <v>5449262</v>
      </c>
      <c r="Y203" s="223">
        <f t="shared" si="92"/>
        <v>0</v>
      </c>
      <c r="Z203" s="224">
        <f t="shared" si="92"/>
        <v>5449262</v>
      </c>
    </row>
    <row r="204" spans="1:26" ht="43.5" customHeight="1" x14ac:dyDescent="0.2">
      <c r="A204" s="304"/>
      <c r="B204" s="362" t="s">
        <v>54</v>
      </c>
      <c r="C204" s="66" t="s">
        <v>95</v>
      </c>
      <c r="D204" s="66" t="s">
        <v>135</v>
      </c>
      <c r="E204" s="66" t="s">
        <v>135</v>
      </c>
      <c r="F204" s="66" t="s">
        <v>135</v>
      </c>
      <c r="G204" s="66" t="s">
        <v>360</v>
      </c>
      <c r="H204" s="67" t="s">
        <v>135</v>
      </c>
      <c r="I204" s="214" t="s">
        <v>55</v>
      </c>
      <c r="J204" s="195"/>
      <c r="K204" s="196"/>
      <c r="L204" s="216">
        <v>0</v>
      </c>
      <c r="M204" s="216">
        <v>0</v>
      </c>
      <c r="N204" s="216">
        <v>0</v>
      </c>
      <c r="O204" s="216">
        <f>24960378+3320175.62</f>
        <v>28280553.620000001</v>
      </c>
      <c r="P204" s="216">
        <v>0</v>
      </c>
      <c r="Q204" s="216">
        <v>0</v>
      </c>
      <c r="R204" s="216">
        <v>0</v>
      </c>
      <c r="S204" s="216">
        <f>24960378+3320175.62</f>
        <v>28280553.620000001</v>
      </c>
      <c r="T204" s="216">
        <v>5449262</v>
      </c>
      <c r="U204" s="216">
        <v>0</v>
      </c>
      <c r="V204" s="216">
        <v>0</v>
      </c>
      <c r="W204" s="216">
        <f>24960378+3320175.62</f>
        <v>28280553.620000001</v>
      </c>
      <c r="X204" s="216">
        <v>5449262</v>
      </c>
      <c r="Y204" s="215">
        <v>0</v>
      </c>
      <c r="Z204" s="216">
        <v>5449262</v>
      </c>
    </row>
    <row r="205" spans="1:26" ht="51" x14ac:dyDescent="0.2">
      <c r="A205" s="304"/>
      <c r="B205" s="362" t="s">
        <v>206</v>
      </c>
      <c r="C205" s="66" t="s">
        <v>95</v>
      </c>
      <c r="D205" s="66" t="s">
        <v>135</v>
      </c>
      <c r="E205" s="66" t="s">
        <v>135</v>
      </c>
      <c r="F205" s="66" t="s">
        <v>135</v>
      </c>
      <c r="G205" s="66" t="s">
        <v>205</v>
      </c>
      <c r="H205" s="66" t="s">
        <v>202</v>
      </c>
      <c r="I205" s="214"/>
      <c r="J205" s="220">
        <f t="shared" ref="J205:X206" si="93">J206</f>
        <v>9008886.6799999997</v>
      </c>
      <c r="K205" s="46">
        <f t="shared" si="93"/>
        <v>0</v>
      </c>
      <c r="L205" s="221">
        <f t="shared" si="93"/>
        <v>43410715.479999997</v>
      </c>
      <c r="M205" s="221">
        <f t="shared" si="93"/>
        <v>0</v>
      </c>
      <c r="N205" s="221">
        <f>N206+N208</f>
        <v>49591364.670000002</v>
      </c>
      <c r="O205" s="221">
        <f t="shared" ref="O205:Z205" si="94">O206+O208</f>
        <v>43974226.770000003</v>
      </c>
      <c r="P205" s="221">
        <f t="shared" si="94"/>
        <v>0</v>
      </c>
      <c r="Q205" s="221">
        <f t="shared" si="94"/>
        <v>0</v>
      </c>
      <c r="R205" s="221">
        <f>R206+R208</f>
        <v>49591364.670000002</v>
      </c>
      <c r="S205" s="221">
        <f t="shared" si="94"/>
        <v>43974226.770000003</v>
      </c>
      <c r="T205" s="221">
        <f t="shared" si="94"/>
        <v>44622522.280000001</v>
      </c>
      <c r="U205" s="221">
        <f t="shared" si="94"/>
        <v>0</v>
      </c>
      <c r="V205" s="221">
        <f t="shared" si="94"/>
        <v>0</v>
      </c>
      <c r="W205" s="221">
        <f t="shared" si="94"/>
        <v>43974226.770000003</v>
      </c>
      <c r="X205" s="221">
        <f t="shared" si="94"/>
        <v>44622522.280000001</v>
      </c>
      <c r="Y205" s="46">
        <f t="shared" si="94"/>
        <v>0</v>
      </c>
      <c r="Z205" s="221">
        <f t="shared" si="94"/>
        <v>44622522.280000001</v>
      </c>
    </row>
    <row r="206" spans="1:26" ht="25.5" x14ac:dyDescent="0.2">
      <c r="A206" s="304"/>
      <c r="B206" s="362" t="s">
        <v>52</v>
      </c>
      <c r="C206" s="66" t="s">
        <v>95</v>
      </c>
      <c r="D206" s="66" t="s">
        <v>135</v>
      </c>
      <c r="E206" s="66" t="s">
        <v>135</v>
      </c>
      <c r="F206" s="66" t="s">
        <v>135</v>
      </c>
      <c r="G206" s="66" t="s">
        <v>205</v>
      </c>
      <c r="H206" s="66" t="s">
        <v>202</v>
      </c>
      <c r="I206" s="214" t="s">
        <v>53</v>
      </c>
      <c r="J206" s="220">
        <f t="shared" si="93"/>
        <v>9008886.6799999997</v>
      </c>
      <c r="K206" s="46">
        <f t="shared" si="93"/>
        <v>0</v>
      </c>
      <c r="L206" s="224">
        <f t="shared" si="93"/>
        <v>43410715.479999997</v>
      </c>
      <c r="M206" s="224">
        <f t="shared" si="93"/>
        <v>0</v>
      </c>
      <c r="N206" s="224">
        <f t="shared" si="93"/>
        <v>49591364.670000002</v>
      </c>
      <c r="O206" s="224">
        <f t="shared" si="93"/>
        <v>43974226.770000003</v>
      </c>
      <c r="P206" s="224">
        <f t="shared" si="93"/>
        <v>0</v>
      </c>
      <c r="Q206" s="224">
        <f t="shared" si="93"/>
        <v>-7552.46</v>
      </c>
      <c r="R206" s="224">
        <f t="shared" si="93"/>
        <v>49583812.210000001</v>
      </c>
      <c r="S206" s="224">
        <f t="shared" si="93"/>
        <v>43974226.770000003</v>
      </c>
      <c r="T206" s="224">
        <f t="shared" si="93"/>
        <v>44622522.280000001</v>
      </c>
      <c r="U206" s="224">
        <f t="shared" si="93"/>
        <v>0</v>
      </c>
      <c r="V206" s="224">
        <f t="shared" si="93"/>
        <v>0</v>
      </c>
      <c r="W206" s="224">
        <f t="shared" si="93"/>
        <v>43974226.770000003</v>
      </c>
      <c r="X206" s="224">
        <f t="shared" si="93"/>
        <v>44622522.280000001</v>
      </c>
      <c r="Y206" s="223">
        <f>Y207</f>
        <v>0</v>
      </c>
      <c r="Z206" s="224">
        <f>Z207</f>
        <v>44622522.280000001</v>
      </c>
    </row>
    <row r="207" spans="1:26" ht="25.5" x14ac:dyDescent="0.2">
      <c r="A207" s="304"/>
      <c r="B207" s="362" t="s">
        <v>54</v>
      </c>
      <c r="C207" s="66" t="s">
        <v>95</v>
      </c>
      <c r="D207" s="66" t="s">
        <v>135</v>
      </c>
      <c r="E207" s="66" t="s">
        <v>135</v>
      </c>
      <c r="F207" s="66" t="s">
        <v>135</v>
      </c>
      <c r="G207" s="66" t="s">
        <v>205</v>
      </c>
      <c r="H207" s="66" t="s">
        <v>202</v>
      </c>
      <c r="I207" s="214" t="s">
        <v>55</v>
      </c>
      <c r="J207" s="64">
        <v>9008886.6799999997</v>
      </c>
      <c r="K207" s="223">
        <v>0</v>
      </c>
      <c r="L207" s="224">
        <v>43410715.479999997</v>
      </c>
      <c r="M207" s="224">
        <v>0</v>
      </c>
      <c r="N207" s="224">
        <v>49591364.670000002</v>
      </c>
      <c r="O207" s="224">
        <v>43974226.770000003</v>
      </c>
      <c r="P207" s="224">
        <v>0</v>
      </c>
      <c r="Q207" s="224">
        <v>-7552.46</v>
      </c>
      <c r="R207" s="224">
        <f>Q207+N207</f>
        <v>49583812.210000001</v>
      </c>
      <c r="S207" s="224">
        <v>43974226.770000003</v>
      </c>
      <c r="T207" s="224">
        <v>44622522.280000001</v>
      </c>
      <c r="U207" s="224">
        <v>0</v>
      </c>
      <c r="V207" s="224">
        <v>0</v>
      </c>
      <c r="W207" s="224">
        <v>43974226.770000003</v>
      </c>
      <c r="X207" s="224">
        <v>44622522.280000001</v>
      </c>
      <c r="Y207" s="223">
        <v>0</v>
      </c>
      <c r="Z207" s="224">
        <v>44622522.280000001</v>
      </c>
    </row>
    <row r="208" spans="1:26" x14ac:dyDescent="0.2">
      <c r="A208" s="304"/>
      <c r="B208" s="212" t="s">
        <v>62</v>
      </c>
      <c r="C208" s="66" t="s">
        <v>95</v>
      </c>
      <c r="D208" s="66" t="s">
        <v>135</v>
      </c>
      <c r="E208" s="66" t="s">
        <v>135</v>
      </c>
      <c r="F208" s="66" t="s">
        <v>135</v>
      </c>
      <c r="G208" s="66" t="s">
        <v>205</v>
      </c>
      <c r="H208" s="67" t="s">
        <v>202</v>
      </c>
      <c r="I208" s="309" t="s">
        <v>63</v>
      </c>
      <c r="J208" s="64"/>
      <c r="K208" s="65"/>
      <c r="L208" s="224"/>
      <c r="M208" s="224"/>
      <c r="N208" s="224">
        <f>N209</f>
        <v>0</v>
      </c>
      <c r="O208" s="223"/>
      <c r="P208" s="224"/>
      <c r="Q208" s="224">
        <f>Q209</f>
        <v>7552.46</v>
      </c>
      <c r="R208" s="224">
        <f>R209</f>
        <v>7552.46</v>
      </c>
      <c r="S208" s="224">
        <f>S209</f>
        <v>0</v>
      </c>
      <c r="T208" s="223"/>
      <c r="U208" s="224"/>
      <c r="V208" s="224">
        <f>V209</f>
        <v>0</v>
      </c>
      <c r="W208" s="224">
        <f>W209</f>
        <v>0</v>
      </c>
      <c r="X208" s="225">
        <f>X209</f>
        <v>0</v>
      </c>
      <c r="Y208" s="64">
        <f>Y209</f>
        <v>0</v>
      </c>
      <c r="Z208" s="224">
        <f>Z209</f>
        <v>0</v>
      </c>
    </row>
    <row r="209" spans="1:26" x14ac:dyDescent="0.2">
      <c r="A209" s="304"/>
      <c r="B209" s="362" t="s">
        <v>64</v>
      </c>
      <c r="C209" s="66" t="s">
        <v>95</v>
      </c>
      <c r="D209" s="66" t="s">
        <v>135</v>
      </c>
      <c r="E209" s="66" t="s">
        <v>135</v>
      </c>
      <c r="F209" s="66" t="s">
        <v>135</v>
      </c>
      <c r="G209" s="66" t="s">
        <v>205</v>
      </c>
      <c r="H209" s="67" t="s">
        <v>202</v>
      </c>
      <c r="I209" s="309" t="s">
        <v>65</v>
      </c>
      <c r="J209" s="64"/>
      <c r="K209" s="65"/>
      <c r="L209" s="224"/>
      <c r="M209" s="224"/>
      <c r="N209" s="224">
        <v>0</v>
      </c>
      <c r="O209" s="223"/>
      <c r="P209" s="224"/>
      <c r="Q209" s="224">
        <v>7552.46</v>
      </c>
      <c r="R209" s="224">
        <f>Q209</f>
        <v>7552.46</v>
      </c>
      <c r="S209" s="224">
        <v>0</v>
      </c>
      <c r="T209" s="223"/>
      <c r="U209" s="224"/>
      <c r="V209" s="224">
        <v>0</v>
      </c>
      <c r="W209" s="224">
        <v>0</v>
      </c>
      <c r="X209" s="225">
        <v>0</v>
      </c>
      <c r="Y209" s="64">
        <v>0</v>
      </c>
      <c r="Z209" s="224">
        <v>0</v>
      </c>
    </row>
    <row r="210" spans="1:26" ht="25.5" x14ac:dyDescent="0.2">
      <c r="A210" s="304"/>
      <c r="B210" s="362" t="s">
        <v>242</v>
      </c>
      <c r="C210" s="79" t="s">
        <v>95</v>
      </c>
      <c r="D210" s="79" t="s">
        <v>135</v>
      </c>
      <c r="E210" s="66" t="s">
        <v>135</v>
      </c>
      <c r="F210" s="66" t="s">
        <v>135</v>
      </c>
      <c r="G210" s="79" t="s">
        <v>243</v>
      </c>
      <c r="H210" s="66" t="s">
        <v>135</v>
      </c>
      <c r="I210" s="260"/>
      <c r="J210" s="64"/>
      <c r="K210" s="223"/>
      <c r="L210" s="224">
        <f t="shared" ref="L210:Z210" si="95">L211</f>
        <v>0</v>
      </c>
      <c r="M210" s="224">
        <f t="shared" si="95"/>
        <v>0</v>
      </c>
      <c r="N210" s="224">
        <f t="shared" si="95"/>
        <v>3114485.99</v>
      </c>
      <c r="O210" s="224">
        <f t="shared" si="95"/>
        <v>38202873.049999997</v>
      </c>
      <c r="P210" s="224">
        <f t="shared" si="95"/>
        <v>0</v>
      </c>
      <c r="Q210" s="224">
        <f t="shared" si="95"/>
        <v>-1507142.9100000001</v>
      </c>
      <c r="R210" s="224">
        <f t="shared" si="95"/>
        <v>1607343.08</v>
      </c>
      <c r="S210" s="225">
        <f t="shared" si="95"/>
        <v>38202873.049999997</v>
      </c>
      <c r="T210" s="225">
        <f t="shared" si="95"/>
        <v>38202873.049999997</v>
      </c>
      <c r="U210" s="225">
        <f t="shared" si="95"/>
        <v>0</v>
      </c>
      <c r="V210" s="224">
        <f t="shared" si="95"/>
        <v>0</v>
      </c>
      <c r="W210" s="224">
        <f t="shared" si="95"/>
        <v>38202873.049999997</v>
      </c>
      <c r="X210" s="225">
        <f t="shared" si="95"/>
        <v>38202873.049999997</v>
      </c>
      <c r="Y210" s="64">
        <f t="shared" si="95"/>
        <v>0</v>
      </c>
      <c r="Z210" s="224">
        <f t="shared" si="95"/>
        <v>38202873.049999997</v>
      </c>
    </row>
    <row r="211" spans="1:26" ht="25.5" x14ac:dyDescent="0.2">
      <c r="A211" s="304"/>
      <c r="B211" s="362" t="s">
        <v>52</v>
      </c>
      <c r="C211" s="79" t="s">
        <v>95</v>
      </c>
      <c r="D211" s="79" t="s">
        <v>135</v>
      </c>
      <c r="E211" s="66" t="s">
        <v>135</v>
      </c>
      <c r="F211" s="66" t="s">
        <v>135</v>
      </c>
      <c r="G211" s="79" t="s">
        <v>243</v>
      </c>
      <c r="H211" s="66" t="s">
        <v>135</v>
      </c>
      <c r="I211" s="260" t="s">
        <v>53</v>
      </c>
      <c r="J211" s="64"/>
      <c r="K211" s="223"/>
      <c r="L211" s="216">
        <f t="shared" ref="L211:Z211" si="96">L212</f>
        <v>0</v>
      </c>
      <c r="M211" s="216">
        <f t="shared" si="96"/>
        <v>0</v>
      </c>
      <c r="N211" s="216">
        <f t="shared" si="96"/>
        <v>3114485.99</v>
      </c>
      <c r="O211" s="216">
        <f t="shared" si="96"/>
        <v>38202873.049999997</v>
      </c>
      <c r="P211" s="216">
        <f t="shared" si="96"/>
        <v>0</v>
      </c>
      <c r="Q211" s="216">
        <f t="shared" si="96"/>
        <v>-1507142.9100000001</v>
      </c>
      <c r="R211" s="216">
        <f t="shared" si="96"/>
        <v>1607343.08</v>
      </c>
      <c r="S211" s="217">
        <f t="shared" si="96"/>
        <v>38202873.049999997</v>
      </c>
      <c r="T211" s="216">
        <f t="shared" si="96"/>
        <v>38202873.049999997</v>
      </c>
      <c r="U211" s="216">
        <f t="shared" si="96"/>
        <v>0</v>
      </c>
      <c r="V211" s="216">
        <f t="shared" si="96"/>
        <v>0</v>
      </c>
      <c r="W211" s="216">
        <f t="shared" si="96"/>
        <v>38202873.049999997</v>
      </c>
      <c r="X211" s="216">
        <f t="shared" si="96"/>
        <v>38202873.049999997</v>
      </c>
      <c r="Y211" s="215">
        <f t="shared" si="96"/>
        <v>0</v>
      </c>
      <c r="Z211" s="216">
        <f t="shared" si="96"/>
        <v>38202873.049999997</v>
      </c>
    </row>
    <row r="212" spans="1:26" ht="25.5" x14ac:dyDescent="0.2">
      <c r="A212" s="304"/>
      <c r="B212" s="362" t="s">
        <v>54</v>
      </c>
      <c r="C212" s="79" t="s">
        <v>95</v>
      </c>
      <c r="D212" s="79" t="s">
        <v>135</v>
      </c>
      <c r="E212" s="66" t="s">
        <v>135</v>
      </c>
      <c r="F212" s="66" t="s">
        <v>135</v>
      </c>
      <c r="G212" s="79" t="s">
        <v>243</v>
      </c>
      <c r="H212" s="66" t="s">
        <v>135</v>
      </c>
      <c r="I212" s="260" t="s">
        <v>55</v>
      </c>
      <c r="J212" s="64"/>
      <c r="K212" s="223"/>
      <c r="L212" s="216">
        <v>0</v>
      </c>
      <c r="M212" s="216">
        <v>0</v>
      </c>
      <c r="N212" s="216">
        <v>3114485.99</v>
      </c>
      <c r="O212" s="216">
        <v>38202873.049999997</v>
      </c>
      <c r="P212" s="216">
        <v>0</v>
      </c>
      <c r="Q212" s="216">
        <f>1607343.08-3114485.99</f>
        <v>-1507142.9100000001</v>
      </c>
      <c r="R212" s="216">
        <f>Q212+N212</f>
        <v>1607343.08</v>
      </c>
      <c r="S212" s="217">
        <v>38202873.049999997</v>
      </c>
      <c r="T212" s="216">
        <v>38202873.049999997</v>
      </c>
      <c r="U212" s="216">
        <v>0</v>
      </c>
      <c r="V212" s="216">
        <v>0</v>
      </c>
      <c r="W212" s="216">
        <v>38202873.049999997</v>
      </c>
      <c r="X212" s="216">
        <v>38202873.049999997</v>
      </c>
      <c r="Y212" s="215">
        <v>0</v>
      </c>
      <c r="Z212" s="216">
        <v>38202873.049999997</v>
      </c>
    </row>
    <row r="213" spans="1:26" ht="68.25" customHeight="1" x14ac:dyDescent="0.2">
      <c r="A213" s="304"/>
      <c r="B213" s="500" t="s">
        <v>456</v>
      </c>
      <c r="C213" s="77" t="s">
        <v>95</v>
      </c>
      <c r="D213" s="79" t="s">
        <v>135</v>
      </c>
      <c r="E213" s="66" t="s">
        <v>135</v>
      </c>
      <c r="F213" s="66" t="s">
        <v>135</v>
      </c>
      <c r="G213" s="79" t="s">
        <v>259</v>
      </c>
      <c r="H213" s="67" t="s">
        <v>135</v>
      </c>
      <c r="I213" s="260"/>
      <c r="J213" s="68"/>
      <c r="K213" s="69"/>
      <c r="L213" s="502">
        <f t="shared" ref="L213:Z214" si="97">L214</f>
        <v>12877067.35</v>
      </c>
      <c r="M213" s="69">
        <f t="shared" si="97"/>
        <v>0</v>
      </c>
      <c r="N213" s="216">
        <f t="shared" si="97"/>
        <v>0</v>
      </c>
      <c r="O213" s="498">
        <f t="shared" si="97"/>
        <v>0</v>
      </c>
      <c r="P213" s="69">
        <f t="shared" si="97"/>
        <v>0</v>
      </c>
      <c r="Q213" s="216">
        <f t="shared" si="97"/>
        <v>15572429.960000001</v>
      </c>
      <c r="R213" s="216">
        <f t="shared" si="97"/>
        <v>15572429.960000001</v>
      </c>
      <c r="S213" s="217">
        <f t="shared" si="97"/>
        <v>0</v>
      </c>
      <c r="T213" s="498">
        <f t="shared" si="97"/>
        <v>0</v>
      </c>
      <c r="U213" s="215"/>
      <c r="V213" s="216">
        <f t="shared" si="97"/>
        <v>0</v>
      </c>
      <c r="W213" s="216">
        <f t="shared" si="97"/>
        <v>0</v>
      </c>
      <c r="X213" s="216">
        <f t="shared" si="97"/>
        <v>0</v>
      </c>
      <c r="Y213" s="215">
        <f t="shared" si="97"/>
        <v>0</v>
      </c>
      <c r="Z213" s="216">
        <f t="shared" si="97"/>
        <v>0</v>
      </c>
    </row>
    <row r="214" spans="1:26" ht="25.5" x14ac:dyDescent="0.2">
      <c r="A214" s="304"/>
      <c r="B214" s="500" t="s">
        <v>52</v>
      </c>
      <c r="C214" s="77" t="s">
        <v>95</v>
      </c>
      <c r="D214" s="79" t="s">
        <v>135</v>
      </c>
      <c r="E214" s="66" t="s">
        <v>135</v>
      </c>
      <c r="F214" s="66" t="s">
        <v>135</v>
      </c>
      <c r="G214" s="79" t="s">
        <v>259</v>
      </c>
      <c r="H214" s="67" t="s">
        <v>135</v>
      </c>
      <c r="I214" s="260" t="s">
        <v>53</v>
      </c>
      <c r="J214" s="68"/>
      <c r="K214" s="69"/>
      <c r="L214" s="502">
        <f t="shared" si="97"/>
        <v>12877067.35</v>
      </c>
      <c r="M214" s="69">
        <f t="shared" si="97"/>
        <v>0</v>
      </c>
      <c r="N214" s="216">
        <f t="shared" si="97"/>
        <v>0</v>
      </c>
      <c r="O214" s="498">
        <f t="shared" si="97"/>
        <v>0</v>
      </c>
      <c r="P214" s="69">
        <f t="shared" si="97"/>
        <v>0</v>
      </c>
      <c r="Q214" s="216">
        <f t="shared" si="97"/>
        <v>15572429.960000001</v>
      </c>
      <c r="R214" s="216">
        <f t="shared" si="97"/>
        <v>15572429.960000001</v>
      </c>
      <c r="S214" s="217">
        <f t="shared" si="97"/>
        <v>0</v>
      </c>
      <c r="T214" s="498">
        <f t="shared" si="97"/>
        <v>0</v>
      </c>
      <c r="U214" s="215"/>
      <c r="V214" s="216">
        <f t="shared" si="97"/>
        <v>0</v>
      </c>
      <c r="W214" s="216">
        <f t="shared" si="97"/>
        <v>0</v>
      </c>
      <c r="X214" s="216">
        <f t="shared" si="97"/>
        <v>0</v>
      </c>
      <c r="Y214" s="215">
        <f t="shared" si="97"/>
        <v>0</v>
      </c>
      <c r="Z214" s="216">
        <f t="shared" si="97"/>
        <v>0</v>
      </c>
    </row>
    <row r="215" spans="1:26" ht="25.5" x14ac:dyDescent="0.2">
      <c r="A215" s="304"/>
      <c r="B215" s="500" t="s">
        <v>54</v>
      </c>
      <c r="C215" s="77" t="s">
        <v>95</v>
      </c>
      <c r="D215" s="79" t="s">
        <v>135</v>
      </c>
      <c r="E215" s="66" t="s">
        <v>135</v>
      </c>
      <c r="F215" s="66" t="s">
        <v>135</v>
      </c>
      <c r="G215" s="79" t="s">
        <v>259</v>
      </c>
      <c r="H215" s="67" t="s">
        <v>135</v>
      </c>
      <c r="I215" s="260" t="s">
        <v>55</v>
      </c>
      <c r="J215" s="68"/>
      <c r="K215" s="69"/>
      <c r="L215" s="502">
        <v>12877067.35</v>
      </c>
      <c r="M215" s="69">
        <v>0</v>
      </c>
      <c r="N215" s="216">
        <v>0</v>
      </c>
      <c r="O215" s="498">
        <v>0</v>
      </c>
      <c r="P215" s="69">
        <v>0</v>
      </c>
      <c r="Q215" s="216">
        <f>12457943.97+3114485.99</f>
        <v>15572429.960000001</v>
      </c>
      <c r="R215" s="216">
        <f>Q215</f>
        <v>15572429.960000001</v>
      </c>
      <c r="S215" s="217">
        <v>0</v>
      </c>
      <c r="T215" s="498">
        <v>0</v>
      </c>
      <c r="U215" s="215"/>
      <c r="V215" s="216">
        <v>0</v>
      </c>
      <c r="W215" s="216">
        <v>0</v>
      </c>
      <c r="X215" s="216">
        <v>0</v>
      </c>
      <c r="Y215" s="215">
        <v>0</v>
      </c>
      <c r="Z215" s="216">
        <v>0</v>
      </c>
    </row>
    <row r="216" spans="1:26" ht="49.5" customHeight="1" x14ac:dyDescent="0.2">
      <c r="A216" s="304"/>
      <c r="B216" s="34" t="s">
        <v>417</v>
      </c>
      <c r="C216" s="77" t="s">
        <v>95</v>
      </c>
      <c r="D216" s="79" t="s">
        <v>135</v>
      </c>
      <c r="E216" s="66" t="s">
        <v>135</v>
      </c>
      <c r="F216" s="66" t="s">
        <v>135</v>
      </c>
      <c r="G216" s="79" t="s">
        <v>400</v>
      </c>
      <c r="H216" s="67" t="s">
        <v>135</v>
      </c>
      <c r="I216" s="260"/>
      <c r="J216" s="68"/>
      <c r="K216" s="69"/>
      <c r="L216" s="502">
        <f t="shared" ref="L216:Z217" si="98">L217</f>
        <v>6642350.8799999999</v>
      </c>
      <c r="M216" s="69">
        <f t="shared" si="98"/>
        <v>0</v>
      </c>
      <c r="N216" s="216">
        <f t="shared" si="98"/>
        <v>8161651.6699999999</v>
      </c>
      <c r="O216" s="498">
        <f t="shared" si="98"/>
        <v>0</v>
      </c>
      <c r="P216" s="69">
        <f t="shared" si="98"/>
        <v>0</v>
      </c>
      <c r="Q216" s="216">
        <f t="shared" si="98"/>
        <v>0</v>
      </c>
      <c r="R216" s="216">
        <f t="shared" si="98"/>
        <v>8161651.6699999999</v>
      </c>
      <c r="S216" s="217">
        <f>S217</f>
        <v>0</v>
      </c>
      <c r="T216" s="498">
        <f t="shared" si="98"/>
        <v>0</v>
      </c>
      <c r="U216" s="215"/>
      <c r="V216" s="216">
        <f>V217</f>
        <v>6427933.04</v>
      </c>
      <c r="W216" s="216">
        <f>W217</f>
        <v>6427933.04</v>
      </c>
      <c r="X216" s="216">
        <f>X217</f>
        <v>0</v>
      </c>
      <c r="Y216" s="215">
        <f>Y217</f>
        <v>6427933.04</v>
      </c>
      <c r="Z216" s="216">
        <f>Z217</f>
        <v>6427933.04</v>
      </c>
    </row>
    <row r="217" spans="1:26" ht="25.5" x14ac:dyDescent="0.2">
      <c r="A217" s="304"/>
      <c r="B217" s="34" t="s">
        <v>52</v>
      </c>
      <c r="C217" s="77" t="s">
        <v>95</v>
      </c>
      <c r="D217" s="79" t="s">
        <v>135</v>
      </c>
      <c r="E217" s="66" t="s">
        <v>135</v>
      </c>
      <c r="F217" s="66" t="s">
        <v>135</v>
      </c>
      <c r="G217" s="79" t="s">
        <v>400</v>
      </c>
      <c r="H217" s="67" t="s">
        <v>135</v>
      </c>
      <c r="I217" s="260" t="s">
        <v>53</v>
      </c>
      <c r="J217" s="68"/>
      <c r="K217" s="69"/>
      <c r="L217" s="502">
        <f t="shared" si="98"/>
        <v>6642350.8799999999</v>
      </c>
      <c r="M217" s="69">
        <f t="shared" si="98"/>
        <v>0</v>
      </c>
      <c r="N217" s="216">
        <f t="shared" si="98"/>
        <v>8161651.6699999999</v>
      </c>
      <c r="O217" s="498">
        <f t="shared" si="98"/>
        <v>0</v>
      </c>
      <c r="P217" s="69">
        <f t="shared" si="98"/>
        <v>0</v>
      </c>
      <c r="Q217" s="216">
        <f t="shared" si="98"/>
        <v>0</v>
      </c>
      <c r="R217" s="216">
        <f t="shared" si="98"/>
        <v>8161651.6699999999</v>
      </c>
      <c r="S217" s="216">
        <f t="shared" si="98"/>
        <v>0</v>
      </c>
      <c r="T217" s="498">
        <f t="shared" si="98"/>
        <v>0</v>
      </c>
      <c r="U217" s="215"/>
      <c r="V217" s="216">
        <f t="shared" si="98"/>
        <v>6427933.04</v>
      </c>
      <c r="W217" s="216">
        <f t="shared" si="98"/>
        <v>6427933.04</v>
      </c>
      <c r="X217" s="216">
        <f t="shared" si="98"/>
        <v>0</v>
      </c>
      <c r="Y217" s="215">
        <f t="shared" si="98"/>
        <v>6427933.04</v>
      </c>
      <c r="Z217" s="216">
        <f t="shared" si="98"/>
        <v>6427933.04</v>
      </c>
    </row>
    <row r="218" spans="1:26" ht="25.5" x14ac:dyDescent="0.2">
      <c r="A218" s="304"/>
      <c r="B218" s="34" t="s">
        <v>54</v>
      </c>
      <c r="C218" s="77" t="s">
        <v>95</v>
      </c>
      <c r="D218" s="79" t="s">
        <v>135</v>
      </c>
      <c r="E218" s="66" t="s">
        <v>135</v>
      </c>
      <c r="F218" s="66" t="s">
        <v>135</v>
      </c>
      <c r="G218" s="79" t="s">
        <v>400</v>
      </c>
      <c r="H218" s="67" t="s">
        <v>135</v>
      </c>
      <c r="I218" s="260" t="s">
        <v>55</v>
      </c>
      <c r="J218" s="68"/>
      <c r="K218" s="69"/>
      <c r="L218" s="502">
        <v>6642350.8799999999</v>
      </c>
      <c r="M218" s="69">
        <v>0</v>
      </c>
      <c r="N218" s="216">
        <v>8161651.6699999999</v>
      </c>
      <c r="O218" s="498">
        <v>0</v>
      </c>
      <c r="P218" s="69">
        <v>0</v>
      </c>
      <c r="Q218" s="216">
        <v>0</v>
      </c>
      <c r="R218" s="216">
        <f>Q218+N218</f>
        <v>8161651.6699999999</v>
      </c>
      <c r="S218" s="216">
        <v>0</v>
      </c>
      <c r="T218" s="498">
        <v>0</v>
      </c>
      <c r="U218" s="215"/>
      <c r="V218" s="216">
        <v>6427933.04</v>
      </c>
      <c r="W218" s="216">
        <f>V218</f>
        <v>6427933.04</v>
      </c>
      <c r="X218" s="216">
        <v>0</v>
      </c>
      <c r="Y218" s="215">
        <v>6427933.04</v>
      </c>
      <c r="Z218" s="216">
        <f>Y218</f>
        <v>6427933.04</v>
      </c>
    </row>
    <row r="219" spans="1:26" ht="38.25" x14ac:dyDescent="0.2">
      <c r="A219" s="304"/>
      <c r="B219" s="362" t="s">
        <v>347</v>
      </c>
      <c r="C219" s="79" t="s">
        <v>95</v>
      </c>
      <c r="D219" s="79" t="s">
        <v>135</v>
      </c>
      <c r="E219" s="66" t="s">
        <v>135</v>
      </c>
      <c r="F219" s="66" t="s">
        <v>135</v>
      </c>
      <c r="G219" s="66" t="s">
        <v>389</v>
      </c>
      <c r="H219" s="67" t="s">
        <v>135</v>
      </c>
      <c r="I219" s="291"/>
      <c r="J219" s="68">
        <f t="shared" ref="J219:Z220" si="99">J220</f>
        <v>9973757.5099999998</v>
      </c>
      <c r="K219" s="69">
        <f t="shared" si="99"/>
        <v>0</v>
      </c>
      <c r="L219" s="216">
        <f t="shared" si="99"/>
        <v>0</v>
      </c>
      <c r="M219" s="216">
        <f t="shared" si="99"/>
        <v>0</v>
      </c>
      <c r="N219" s="216">
        <f t="shared" si="99"/>
        <v>14698090</v>
      </c>
      <c r="O219" s="68">
        <f t="shared" si="99"/>
        <v>38202873.049999997</v>
      </c>
      <c r="P219" s="216">
        <f t="shared" si="99"/>
        <v>0</v>
      </c>
      <c r="Q219" s="216">
        <f t="shared" si="99"/>
        <v>-762220</v>
      </c>
      <c r="R219" s="216">
        <f t="shared" si="99"/>
        <v>13935870</v>
      </c>
      <c r="S219" s="68">
        <f t="shared" si="99"/>
        <v>0</v>
      </c>
      <c r="T219" s="216">
        <f t="shared" si="99"/>
        <v>38202873.049999997</v>
      </c>
      <c r="U219" s="215">
        <f t="shared" si="99"/>
        <v>0</v>
      </c>
      <c r="V219" s="216">
        <f t="shared" si="99"/>
        <v>0</v>
      </c>
      <c r="W219" s="68">
        <f t="shared" si="99"/>
        <v>0</v>
      </c>
      <c r="X219" s="216">
        <f t="shared" si="99"/>
        <v>0</v>
      </c>
      <c r="Y219" s="215">
        <f t="shared" si="99"/>
        <v>0</v>
      </c>
      <c r="Z219" s="216">
        <f t="shared" si="99"/>
        <v>0</v>
      </c>
    </row>
    <row r="220" spans="1:26" ht="25.5" x14ac:dyDescent="0.2">
      <c r="A220" s="304"/>
      <c r="B220" s="362" t="s">
        <v>52</v>
      </c>
      <c r="C220" s="79" t="s">
        <v>95</v>
      </c>
      <c r="D220" s="79" t="s">
        <v>135</v>
      </c>
      <c r="E220" s="66" t="s">
        <v>135</v>
      </c>
      <c r="F220" s="66" t="s">
        <v>135</v>
      </c>
      <c r="G220" s="66" t="s">
        <v>389</v>
      </c>
      <c r="H220" s="67" t="s">
        <v>135</v>
      </c>
      <c r="I220" s="291" t="s">
        <v>53</v>
      </c>
      <c r="J220" s="68">
        <f t="shared" si="99"/>
        <v>9973757.5099999998</v>
      </c>
      <c r="K220" s="69">
        <f t="shared" si="99"/>
        <v>0</v>
      </c>
      <c r="L220" s="216">
        <f t="shared" si="99"/>
        <v>0</v>
      </c>
      <c r="M220" s="216">
        <f t="shared" si="99"/>
        <v>0</v>
      </c>
      <c r="N220" s="216">
        <f t="shared" si="99"/>
        <v>14698090</v>
      </c>
      <c r="O220" s="68">
        <f t="shared" si="99"/>
        <v>38202873.049999997</v>
      </c>
      <c r="P220" s="216">
        <f t="shared" si="99"/>
        <v>0</v>
      </c>
      <c r="Q220" s="216">
        <f t="shared" si="99"/>
        <v>-762220</v>
      </c>
      <c r="R220" s="216">
        <f t="shared" si="99"/>
        <v>13935870</v>
      </c>
      <c r="S220" s="68">
        <f t="shared" si="99"/>
        <v>0</v>
      </c>
      <c r="T220" s="216">
        <f t="shared" si="99"/>
        <v>38202873.049999997</v>
      </c>
      <c r="U220" s="215">
        <f t="shared" si="99"/>
        <v>0</v>
      </c>
      <c r="V220" s="216">
        <f t="shared" si="99"/>
        <v>0</v>
      </c>
      <c r="W220" s="68">
        <f t="shared" si="99"/>
        <v>0</v>
      </c>
      <c r="X220" s="216">
        <f t="shared" si="99"/>
        <v>0</v>
      </c>
      <c r="Y220" s="215">
        <f t="shared" si="99"/>
        <v>0</v>
      </c>
      <c r="Z220" s="216">
        <f t="shared" si="99"/>
        <v>0</v>
      </c>
    </row>
    <row r="221" spans="1:26" ht="25.5" x14ac:dyDescent="0.2">
      <c r="A221" s="304"/>
      <c r="B221" s="440" t="s">
        <v>54</v>
      </c>
      <c r="C221" s="79" t="s">
        <v>95</v>
      </c>
      <c r="D221" s="79" t="s">
        <v>135</v>
      </c>
      <c r="E221" s="66" t="s">
        <v>135</v>
      </c>
      <c r="F221" s="66" t="s">
        <v>135</v>
      </c>
      <c r="G221" s="66" t="s">
        <v>389</v>
      </c>
      <c r="H221" s="67" t="s">
        <v>135</v>
      </c>
      <c r="I221" s="291" t="s">
        <v>55</v>
      </c>
      <c r="J221" s="68">
        <v>9973757.5099999998</v>
      </c>
      <c r="K221" s="69">
        <v>0</v>
      </c>
      <c r="L221" s="216">
        <v>0</v>
      </c>
      <c r="M221" s="216">
        <v>0</v>
      </c>
      <c r="N221" s="216">
        <v>14698090</v>
      </c>
      <c r="O221" s="68">
        <v>38202873.049999997</v>
      </c>
      <c r="P221" s="216">
        <v>0</v>
      </c>
      <c r="Q221" s="216">
        <f>-4153650+3391430</f>
        <v>-762220</v>
      </c>
      <c r="R221" s="216">
        <f>Q221+N220</f>
        <v>13935870</v>
      </c>
      <c r="S221" s="68">
        <v>0</v>
      </c>
      <c r="T221" s="216">
        <v>38202873.049999997</v>
      </c>
      <c r="U221" s="215">
        <v>0</v>
      </c>
      <c r="V221" s="216">
        <v>0</v>
      </c>
      <c r="W221" s="68">
        <v>0</v>
      </c>
      <c r="X221" s="216">
        <v>0</v>
      </c>
      <c r="Y221" s="215">
        <v>0</v>
      </c>
      <c r="Z221" s="216">
        <v>0</v>
      </c>
    </row>
    <row r="222" spans="1:26" x14ac:dyDescent="0.2">
      <c r="A222" s="304"/>
      <c r="B222" s="267"/>
      <c r="C222" s="268"/>
      <c r="D222" s="269"/>
      <c r="E222" s="318"/>
      <c r="F222" s="318"/>
      <c r="G222" s="270"/>
      <c r="H222" s="320"/>
      <c r="I222" s="272"/>
      <c r="J222" s="310"/>
      <c r="K222" s="311"/>
      <c r="L222" s="311"/>
      <c r="M222" s="311"/>
      <c r="N222" s="311"/>
      <c r="O222" s="312"/>
      <c r="P222" s="312"/>
      <c r="Q222" s="311"/>
      <c r="R222" s="311"/>
      <c r="S222" s="312"/>
      <c r="T222" s="313"/>
      <c r="U222" s="313"/>
      <c r="V222" s="312"/>
      <c r="W222" s="312"/>
      <c r="X222" s="313"/>
      <c r="Y222" s="310"/>
      <c r="Z222" s="312"/>
    </row>
    <row r="223" spans="1:26" ht="47.25" x14ac:dyDescent="0.2">
      <c r="A223" s="304"/>
      <c r="B223" s="198" t="s">
        <v>333</v>
      </c>
      <c r="C223" s="321" t="s">
        <v>120</v>
      </c>
      <c r="D223" s="322" t="s">
        <v>135</v>
      </c>
      <c r="E223" s="227" t="s">
        <v>135</v>
      </c>
      <c r="F223" s="227" t="s">
        <v>135</v>
      </c>
      <c r="G223" s="323" t="s">
        <v>136</v>
      </c>
      <c r="H223" s="228" t="s">
        <v>135</v>
      </c>
      <c r="I223" s="324"/>
      <c r="J223" s="195">
        <f t="shared" ref="J223:N225" si="100">J224</f>
        <v>5152900.67</v>
      </c>
      <c r="K223" s="196">
        <f t="shared" si="100"/>
        <v>0</v>
      </c>
      <c r="L223" s="196">
        <f t="shared" ref="L223:Z223" si="101">L224</f>
        <v>956423</v>
      </c>
      <c r="M223" s="196">
        <f t="shared" si="101"/>
        <v>878564.53</v>
      </c>
      <c r="N223" s="196">
        <f t="shared" si="101"/>
        <v>1834987.53</v>
      </c>
      <c r="O223" s="197">
        <f t="shared" si="101"/>
        <v>10088105.18</v>
      </c>
      <c r="P223" s="197">
        <f t="shared" si="101"/>
        <v>0</v>
      </c>
      <c r="Q223" s="196">
        <f t="shared" si="101"/>
        <v>700000</v>
      </c>
      <c r="R223" s="196">
        <f t="shared" si="101"/>
        <v>2534987.5300000003</v>
      </c>
      <c r="S223" s="197">
        <f t="shared" si="101"/>
        <v>10088105.18</v>
      </c>
      <c r="T223" s="197">
        <f t="shared" si="101"/>
        <v>12780234.560000001</v>
      </c>
      <c r="U223" s="197">
        <f t="shared" si="101"/>
        <v>0</v>
      </c>
      <c r="V223" s="197">
        <f t="shared" si="101"/>
        <v>0</v>
      </c>
      <c r="W223" s="197">
        <f t="shared" si="101"/>
        <v>10088105.18</v>
      </c>
      <c r="X223" s="197">
        <f t="shared" si="101"/>
        <v>12780234.560000001</v>
      </c>
      <c r="Y223" s="196">
        <f t="shared" si="101"/>
        <v>0</v>
      </c>
      <c r="Z223" s="197">
        <f t="shared" si="101"/>
        <v>12780234.560000001</v>
      </c>
    </row>
    <row r="224" spans="1:26" ht="18" customHeight="1" x14ac:dyDescent="0.2">
      <c r="A224" s="304"/>
      <c r="B224" s="325" t="s">
        <v>213</v>
      </c>
      <c r="C224" s="314" t="s">
        <v>120</v>
      </c>
      <c r="D224" s="73" t="s">
        <v>135</v>
      </c>
      <c r="E224" s="72" t="s">
        <v>135</v>
      </c>
      <c r="F224" s="72" t="s">
        <v>135</v>
      </c>
      <c r="G224" s="74" t="s">
        <v>212</v>
      </c>
      <c r="H224" s="67" t="s">
        <v>135</v>
      </c>
      <c r="I224" s="208"/>
      <c r="J224" s="118">
        <f t="shared" si="100"/>
        <v>5152900.67</v>
      </c>
      <c r="K224" s="209">
        <f t="shared" si="100"/>
        <v>0</v>
      </c>
      <c r="L224" s="209">
        <f t="shared" si="100"/>
        <v>956423</v>
      </c>
      <c r="M224" s="209">
        <f t="shared" si="100"/>
        <v>878564.53</v>
      </c>
      <c r="N224" s="209">
        <f t="shared" si="100"/>
        <v>1834987.53</v>
      </c>
      <c r="O224" s="210">
        <f t="shared" ref="O224:Z225" si="102">O225</f>
        <v>10088105.18</v>
      </c>
      <c r="P224" s="210">
        <f t="shared" si="102"/>
        <v>0</v>
      </c>
      <c r="Q224" s="209">
        <f>Q225</f>
        <v>700000</v>
      </c>
      <c r="R224" s="209">
        <f>R225</f>
        <v>2534987.5300000003</v>
      </c>
      <c r="S224" s="210">
        <f t="shared" si="102"/>
        <v>10088105.18</v>
      </c>
      <c r="T224" s="211">
        <f t="shared" si="102"/>
        <v>12780234.560000001</v>
      </c>
      <c r="U224" s="211">
        <f t="shared" si="102"/>
        <v>0</v>
      </c>
      <c r="V224" s="210">
        <f t="shared" si="102"/>
        <v>0</v>
      </c>
      <c r="W224" s="210">
        <f t="shared" si="102"/>
        <v>10088105.18</v>
      </c>
      <c r="X224" s="211">
        <f t="shared" si="102"/>
        <v>12780234.560000001</v>
      </c>
      <c r="Y224" s="118">
        <f t="shared" si="102"/>
        <v>0</v>
      </c>
      <c r="Z224" s="210">
        <f t="shared" si="102"/>
        <v>12780234.560000001</v>
      </c>
    </row>
    <row r="225" spans="1:26" ht="28.5" customHeight="1" x14ac:dyDescent="0.2">
      <c r="A225" s="304"/>
      <c r="B225" s="258" t="s">
        <v>126</v>
      </c>
      <c r="C225" s="314" t="s">
        <v>120</v>
      </c>
      <c r="D225" s="73" t="s">
        <v>135</v>
      </c>
      <c r="E225" s="72" t="s">
        <v>135</v>
      </c>
      <c r="F225" s="72" t="s">
        <v>135</v>
      </c>
      <c r="G225" s="74" t="s">
        <v>212</v>
      </c>
      <c r="H225" s="67" t="s">
        <v>135</v>
      </c>
      <c r="I225" s="208" t="s">
        <v>53</v>
      </c>
      <c r="J225" s="118">
        <f t="shared" si="100"/>
        <v>5152900.67</v>
      </c>
      <c r="K225" s="209">
        <f t="shared" si="100"/>
        <v>0</v>
      </c>
      <c r="L225" s="209">
        <f t="shared" si="100"/>
        <v>956423</v>
      </c>
      <c r="M225" s="209">
        <f t="shared" si="100"/>
        <v>878564.53</v>
      </c>
      <c r="N225" s="209">
        <f t="shared" si="100"/>
        <v>1834987.53</v>
      </c>
      <c r="O225" s="210">
        <f t="shared" si="102"/>
        <v>10088105.18</v>
      </c>
      <c r="P225" s="210">
        <f t="shared" si="102"/>
        <v>0</v>
      </c>
      <c r="Q225" s="209">
        <f>Q226</f>
        <v>700000</v>
      </c>
      <c r="R225" s="209">
        <f>R226</f>
        <v>2534987.5300000003</v>
      </c>
      <c r="S225" s="210">
        <f t="shared" si="102"/>
        <v>10088105.18</v>
      </c>
      <c r="T225" s="211">
        <f t="shared" si="102"/>
        <v>12780234.560000001</v>
      </c>
      <c r="U225" s="211">
        <f t="shared" si="102"/>
        <v>0</v>
      </c>
      <c r="V225" s="210">
        <f t="shared" si="102"/>
        <v>0</v>
      </c>
      <c r="W225" s="210">
        <f t="shared" si="102"/>
        <v>10088105.18</v>
      </c>
      <c r="X225" s="211">
        <f t="shared" si="102"/>
        <v>12780234.560000001</v>
      </c>
      <c r="Y225" s="118">
        <f t="shared" si="102"/>
        <v>0</v>
      </c>
      <c r="Z225" s="210">
        <f t="shared" si="102"/>
        <v>12780234.560000001</v>
      </c>
    </row>
    <row r="226" spans="1:26" ht="28.5" customHeight="1" x14ac:dyDescent="0.2">
      <c r="A226" s="304"/>
      <c r="B226" s="231" t="s">
        <v>54</v>
      </c>
      <c r="C226" s="315" t="s">
        <v>120</v>
      </c>
      <c r="D226" s="316" t="s">
        <v>135</v>
      </c>
      <c r="E226" s="144" t="s">
        <v>135</v>
      </c>
      <c r="F226" s="144" t="s">
        <v>135</v>
      </c>
      <c r="G226" s="145" t="s">
        <v>212</v>
      </c>
      <c r="H226" s="90" t="s">
        <v>135</v>
      </c>
      <c r="I226" s="282" t="s">
        <v>55</v>
      </c>
      <c r="J226" s="288">
        <v>5152900.67</v>
      </c>
      <c r="K226" s="264">
        <v>0</v>
      </c>
      <c r="L226" s="327">
        <v>956423</v>
      </c>
      <c r="M226" s="327">
        <v>878564.53</v>
      </c>
      <c r="N226" s="327">
        <f>M226+L226</f>
        <v>1834987.53</v>
      </c>
      <c r="O226" s="327">
        <f>1010423+2463833.55+1798063.8+4815784.83</f>
        <v>10088105.18</v>
      </c>
      <c r="P226" s="327">
        <v>0</v>
      </c>
      <c r="Q226" s="327">
        <v>700000</v>
      </c>
      <c r="R226" s="327">
        <f>Q226+N226</f>
        <v>2534987.5300000003</v>
      </c>
      <c r="S226" s="327">
        <f>1010423+2463833.55+1798063.8+4815784.83</f>
        <v>10088105.18</v>
      </c>
      <c r="T226" s="327">
        <f>1010423+3580771.4+2939834.7+5249205.46</f>
        <v>12780234.560000001</v>
      </c>
      <c r="U226" s="327">
        <v>0</v>
      </c>
      <c r="V226" s="327">
        <v>0</v>
      </c>
      <c r="W226" s="327">
        <f>1010423+2463833.55+1798063.8+4815784.83</f>
        <v>10088105.18</v>
      </c>
      <c r="X226" s="327">
        <f>1010423+3580771.4+2939834.7+5249205.46</f>
        <v>12780234.560000001</v>
      </c>
      <c r="Y226" s="326">
        <v>0</v>
      </c>
      <c r="Z226" s="327">
        <f>1010423+3580771.4+2939834.7+5249205.46</f>
        <v>12780234.560000001</v>
      </c>
    </row>
    <row r="227" spans="1:26" ht="10.5" customHeight="1" x14ac:dyDescent="0.2">
      <c r="A227" s="304"/>
      <c r="B227" s="329"/>
      <c r="C227" s="268"/>
      <c r="D227" s="269"/>
      <c r="E227" s="318"/>
      <c r="F227" s="318"/>
      <c r="G227" s="270"/>
      <c r="H227" s="320"/>
      <c r="I227" s="272"/>
      <c r="J227" s="310"/>
      <c r="K227" s="311"/>
      <c r="L227" s="311"/>
      <c r="M227" s="311"/>
      <c r="N227" s="311"/>
      <c r="O227" s="312"/>
      <c r="P227" s="312"/>
      <c r="Q227" s="311"/>
      <c r="R227" s="311"/>
      <c r="S227" s="312"/>
      <c r="T227" s="313"/>
      <c r="U227" s="313"/>
      <c r="V227" s="312"/>
      <c r="W227" s="312"/>
      <c r="X227" s="313"/>
      <c r="Y227" s="310"/>
      <c r="Z227" s="312"/>
    </row>
    <row r="228" spans="1:26" s="206" customFormat="1" ht="53.25" customHeight="1" x14ac:dyDescent="0.2">
      <c r="A228" s="301"/>
      <c r="B228" s="198" t="s">
        <v>351</v>
      </c>
      <c r="C228" s="302" t="s">
        <v>102</v>
      </c>
      <c r="D228" s="227" t="s">
        <v>135</v>
      </c>
      <c r="E228" s="227" t="s">
        <v>135</v>
      </c>
      <c r="F228" s="227" t="s">
        <v>135</v>
      </c>
      <c r="G228" s="227" t="s">
        <v>136</v>
      </c>
      <c r="H228" s="228" t="s">
        <v>135</v>
      </c>
      <c r="I228" s="303"/>
      <c r="J228" s="195" t="e">
        <f>#REF!+J236</f>
        <v>#REF!</v>
      </c>
      <c r="K228" s="196" t="e">
        <f>#REF!+K236</f>
        <v>#REF!</v>
      </c>
      <c r="L228" s="196">
        <f t="shared" ref="L228:Z228" si="103">L229</f>
        <v>16967862.190000001</v>
      </c>
      <c r="M228" s="196">
        <f t="shared" si="103"/>
        <v>0</v>
      </c>
      <c r="N228" s="196">
        <f t="shared" si="103"/>
        <v>16967862.190000001</v>
      </c>
      <c r="O228" s="197">
        <f t="shared" si="103"/>
        <v>16421022.190000001</v>
      </c>
      <c r="P228" s="197">
        <f t="shared" si="103"/>
        <v>0</v>
      </c>
      <c r="Q228" s="196">
        <f t="shared" si="103"/>
        <v>0</v>
      </c>
      <c r="R228" s="196">
        <f t="shared" si="103"/>
        <v>16967862.190000001</v>
      </c>
      <c r="S228" s="197">
        <f t="shared" si="103"/>
        <v>16421022.190000001</v>
      </c>
      <c r="T228" s="197">
        <f t="shared" si="103"/>
        <v>16421022.190000001</v>
      </c>
      <c r="U228" s="197">
        <f t="shared" si="103"/>
        <v>0</v>
      </c>
      <c r="V228" s="197">
        <f t="shared" si="103"/>
        <v>0</v>
      </c>
      <c r="W228" s="197">
        <f t="shared" si="103"/>
        <v>16421022.190000001</v>
      </c>
      <c r="X228" s="197">
        <f t="shared" si="103"/>
        <v>16421022.190000001</v>
      </c>
      <c r="Y228" s="196">
        <f t="shared" si="103"/>
        <v>0</v>
      </c>
      <c r="Z228" s="197">
        <f t="shared" si="103"/>
        <v>16421022.190000001</v>
      </c>
    </row>
    <row r="229" spans="1:26" s="206" customFormat="1" ht="30.75" customHeight="1" x14ac:dyDescent="0.2">
      <c r="A229" s="301"/>
      <c r="B229" s="213" t="s">
        <v>29</v>
      </c>
      <c r="C229" s="103" t="s">
        <v>102</v>
      </c>
      <c r="D229" s="66" t="s">
        <v>135</v>
      </c>
      <c r="E229" s="72" t="s">
        <v>135</v>
      </c>
      <c r="F229" s="72" t="s">
        <v>135</v>
      </c>
      <c r="G229" s="66" t="s">
        <v>27</v>
      </c>
      <c r="H229" s="67" t="s">
        <v>135</v>
      </c>
      <c r="I229" s="260"/>
      <c r="J229" s="118">
        <f t="shared" ref="J229:M229" si="104">J230+J232</f>
        <v>11946300</v>
      </c>
      <c r="K229" s="209">
        <f t="shared" si="104"/>
        <v>0</v>
      </c>
      <c r="L229" s="209">
        <f t="shared" si="104"/>
        <v>16967862.190000001</v>
      </c>
      <c r="M229" s="209">
        <f t="shared" si="104"/>
        <v>0</v>
      </c>
      <c r="N229" s="209">
        <f>N230+N232+N234</f>
        <v>16967862.190000001</v>
      </c>
      <c r="O229" s="209">
        <f t="shared" ref="O229:Z229" si="105">O230+O232+O234</f>
        <v>16421022.190000001</v>
      </c>
      <c r="P229" s="209">
        <f t="shared" si="105"/>
        <v>0</v>
      </c>
      <c r="Q229" s="209">
        <f t="shared" si="105"/>
        <v>0</v>
      </c>
      <c r="R229" s="209">
        <f t="shared" si="105"/>
        <v>16967862.190000001</v>
      </c>
      <c r="S229" s="209">
        <f t="shared" si="105"/>
        <v>16421022.190000001</v>
      </c>
      <c r="T229" s="209">
        <f t="shared" si="105"/>
        <v>16421022.190000001</v>
      </c>
      <c r="U229" s="209">
        <f t="shared" si="105"/>
        <v>0</v>
      </c>
      <c r="V229" s="209">
        <f t="shared" si="105"/>
        <v>0</v>
      </c>
      <c r="W229" s="209">
        <f t="shared" si="105"/>
        <v>16421022.190000001</v>
      </c>
      <c r="X229" s="209">
        <f t="shared" si="105"/>
        <v>16421022.190000001</v>
      </c>
      <c r="Y229" s="209">
        <f t="shared" si="105"/>
        <v>0</v>
      </c>
      <c r="Z229" s="210">
        <f t="shared" si="105"/>
        <v>16421022.190000001</v>
      </c>
    </row>
    <row r="230" spans="1:26" s="206" customFormat="1" ht="53.25" customHeight="1" x14ac:dyDescent="0.2">
      <c r="A230" s="301"/>
      <c r="B230" s="212" t="s">
        <v>67</v>
      </c>
      <c r="C230" s="103" t="s">
        <v>102</v>
      </c>
      <c r="D230" s="66" t="s">
        <v>135</v>
      </c>
      <c r="E230" s="72" t="s">
        <v>135</v>
      </c>
      <c r="F230" s="72" t="s">
        <v>135</v>
      </c>
      <c r="G230" s="71" t="s">
        <v>27</v>
      </c>
      <c r="H230" s="67" t="s">
        <v>135</v>
      </c>
      <c r="I230" s="214">
        <v>100</v>
      </c>
      <c r="J230" s="118">
        <f t="shared" ref="J230:Z230" si="106">J231</f>
        <v>11547700</v>
      </c>
      <c r="K230" s="209">
        <f t="shared" si="106"/>
        <v>0</v>
      </c>
      <c r="L230" s="216">
        <f t="shared" si="106"/>
        <v>16032422.190000001</v>
      </c>
      <c r="M230" s="216">
        <f t="shared" si="106"/>
        <v>0</v>
      </c>
      <c r="N230" s="216">
        <f t="shared" si="106"/>
        <v>16032422.190000001</v>
      </c>
      <c r="O230" s="216">
        <f t="shared" si="106"/>
        <v>16032422.190000001</v>
      </c>
      <c r="P230" s="216">
        <f t="shared" si="106"/>
        <v>0</v>
      </c>
      <c r="Q230" s="216">
        <f t="shared" si="106"/>
        <v>0</v>
      </c>
      <c r="R230" s="216">
        <f t="shared" si="106"/>
        <v>16032422.190000001</v>
      </c>
      <c r="S230" s="216">
        <f t="shared" si="106"/>
        <v>16032422.190000001</v>
      </c>
      <c r="T230" s="216">
        <f t="shared" si="106"/>
        <v>16032422.190000001</v>
      </c>
      <c r="U230" s="216">
        <f t="shared" si="106"/>
        <v>0</v>
      </c>
      <c r="V230" s="216">
        <f t="shared" si="106"/>
        <v>0</v>
      </c>
      <c r="W230" s="216">
        <f t="shared" si="106"/>
        <v>16032422.190000001</v>
      </c>
      <c r="X230" s="216">
        <f t="shared" si="106"/>
        <v>16032422.190000001</v>
      </c>
      <c r="Y230" s="215">
        <f t="shared" si="106"/>
        <v>0</v>
      </c>
      <c r="Z230" s="216">
        <f t="shared" si="106"/>
        <v>16032422.190000001</v>
      </c>
    </row>
    <row r="231" spans="1:26" s="206" customFormat="1" ht="36" customHeight="1" x14ac:dyDescent="0.2">
      <c r="A231" s="301"/>
      <c r="B231" s="212" t="s">
        <v>61</v>
      </c>
      <c r="C231" s="103" t="s">
        <v>102</v>
      </c>
      <c r="D231" s="66" t="s">
        <v>135</v>
      </c>
      <c r="E231" s="72" t="s">
        <v>135</v>
      </c>
      <c r="F231" s="72" t="s">
        <v>135</v>
      </c>
      <c r="G231" s="71" t="s">
        <v>27</v>
      </c>
      <c r="H231" s="67" t="s">
        <v>135</v>
      </c>
      <c r="I231" s="214">
        <v>120</v>
      </c>
      <c r="J231" s="68">
        <v>11547700</v>
      </c>
      <c r="K231" s="215">
        <v>0</v>
      </c>
      <c r="L231" s="216">
        <f>16967862.19-935440</f>
        <v>16032422.190000001</v>
      </c>
      <c r="M231" s="216">
        <v>0</v>
      </c>
      <c r="N231" s="216">
        <f>16967862.19-935440</f>
        <v>16032422.190000001</v>
      </c>
      <c r="O231" s="216">
        <f>16967862.19-935440</f>
        <v>16032422.190000001</v>
      </c>
      <c r="P231" s="216">
        <v>0</v>
      </c>
      <c r="Q231" s="216">
        <v>0</v>
      </c>
      <c r="R231" s="216">
        <f>16967862.19-935440</f>
        <v>16032422.190000001</v>
      </c>
      <c r="S231" s="216">
        <f>16967862.19-935440</f>
        <v>16032422.190000001</v>
      </c>
      <c r="T231" s="216">
        <f>16967862.19-935440</f>
        <v>16032422.190000001</v>
      </c>
      <c r="U231" s="216">
        <v>0</v>
      </c>
      <c r="V231" s="216">
        <v>0</v>
      </c>
      <c r="W231" s="216">
        <f>16967862.19-935440</f>
        <v>16032422.190000001</v>
      </c>
      <c r="X231" s="216">
        <f>16967862.19-935440</f>
        <v>16032422.190000001</v>
      </c>
      <c r="Y231" s="215">
        <v>0</v>
      </c>
      <c r="Z231" s="216">
        <f>16967862.19-935440</f>
        <v>16032422.190000001</v>
      </c>
    </row>
    <row r="232" spans="1:26" s="206" customFormat="1" ht="29.25" customHeight="1" x14ac:dyDescent="0.2">
      <c r="A232" s="301"/>
      <c r="B232" s="212" t="s">
        <v>52</v>
      </c>
      <c r="C232" s="103" t="s">
        <v>102</v>
      </c>
      <c r="D232" s="66" t="s">
        <v>135</v>
      </c>
      <c r="E232" s="72" t="s">
        <v>135</v>
      </c>
      <c r="F232" s="72" t="s">
        <v>135</v>
      </c>
      <c r="G232" s="71" t="s">
        <v>27</v>
      </c>
      <c r="H232" s="67" t="s">
        <v>135</v>
      </c>
      <c r="I232" s="214">
        <v>200</v>
      </c>
      <c r="J232" s="68">
        <f t="shared" ref="J232:Z232" si="107">J233</f>
        <v>398600</v>
      </c>
      <c r="K232" s="215">
        <f t="shared" si="107"/>
        <v>0</v>
      </c>
      <c r="L232" s="216">
        <f t="shared" si="107"/>
        <v>935440</v>
      </c>
      <c r="M232" s="216">
        <f t="shared" si="107"/>
        <v>0</v>
      </c>
      <c r="N232" s="216">
        <f t="shared" si="107"/>
        <v>934484.11</v>
      </c>
      <c r="O232" s="216">
        <f t="shared" si="107"/>
        <v>388600</v>
      </c>
      <c r="P232" s="216">
        <f t="shared" si="107"/>
        <v>0</v>
      </c>
      <c r="Q232" s="216">
        <f t="shared" si="107"/>
        <v>0</v>
      </c>
      <c r="R232" s="216">
        <f t="shared" si="107"/>
        <v>934484.11</v>
      </c>
      <c r="S232" s="216">
        <f t="shared" si="107"/>
        <v>388600</v>
      </c>
      <c r="T232" s="216">
        <f t="shared" si="107"/>
        <v>388600</v>
      </c>
      <c r="U232" s="216">
        <f t="shared" si="107"/>
        <v>0</v>
      </c>
      <c r="V232" s="216">
        <f t="shared" si="107"/>
        <v>0</v>
      </c>
      <c r="W232" s="216">
        <f t="shared" si="107"/>
        <v>388600</v>
      </c>
      <c r="X232" s="216">
        <f t="shared" si="107"/>
        <v>388600</v>
      </c>
      <c r="Y232" s="215">
        <f t="shared" si="107"/>
        <v>0</v>
      </c>
      <c r="Z232" s="216">
        <f t="shared" si="107"/>
        <v>388600</v>
      </c>
    </row>
    <row r="233" spans="1:26" s="206" customFormat="1" ht="33" customHeight="1" x14ac:dyDescent="0.2">
      <c r="A233" s="301"/>
      <c r="B233" s="212" t="s">
        <v>54</v>
      </c>
      <c r="C233" s="103" t="s">
        <v>102</v>
      </c>
      <c r="D233" s="66" t="s">
        <v>135</v>
      </c>
      <c r="E233" s="72" t="s">
        <v>135</v>
      </c>
      <c r="F233" s="72" t="s">
        <v>135</v>
      </c>
      <c r="G233" s="71" t="s">
        <v>27</v>
      </c>
      <c r="H233" s="67" t="s">
        <v>135</v>
      </c>
      <c r="I233" s="214">
        <v>240</v>
      </c>
      <c r="J233" s="68">
        <v>398600</v>
      </c>
      <c r="K233" s="215">
        <v>0</v>
      </c>
      <c r="L233" s="216">
        <v>935440</v>
      </c>
      <c r="M233" s="216">
        <v>0</v>
      </c>
      <c r="N233" s="216">
        <v>934484.11</v>
      </c>
      <c r="O233" s="216">
        <f>935440-546840</f>
        <v>388600</v>
      </c>
      <c r="P233" s="216">
        <v>0</v>
      </c>
      <c r="Q233" s="216">
        <v>0</v>
      </c>
      <c r="R233" s="216">
        <f>Q233+N233</f>
        <v>934484.11</v>
      </c>
      <c r="S233" s="216">
        <f>935440-546840</f>
        <v>388600</v>
      </c>
      <c r="T233" s="216">
        <f>935440-546840</f>
        <v>388600</v>
      </c>
      <c r="U233" s="216">
        <v>0</v>
      </c>
      <c r="V233" s="216">
        <v>0</v>
      </c>
      <c r="W233" s="216">
        <f>935440-546840</f>
        <v>388600</v>
      </c>
      <c r="X233" s="216">
        <f>935440-546840</f>
        <v>388600</v>
      </c>
      <c r="Y233" s="215">
        <v>0</v>
      </c>
      <c r="Z233" s="216">
        <f>935440-546840</f>
        <v>388600</v>
      </c>
    </row>
    <row r="234" spans="1:26" s="206" customFormat="1" ht="33" customHeight="1" x14ac:dyDescent="0.2">
      <c r="A234" s="301"/>
      <c r="B234" s="212" t="s">
        <v>62</v>
      </c>
      <c r="C234" s="103" t="s">
        <v>102</v>
      </c>
      <c r="D234" s="66" t="s">
        <v>135</v>
      </c>
      <c r="E234" s="66" t="s">
        <v>135</v>
      </c>
      <c r="F234" s="66" t="s">
        <v>135</v>
      </c>
      <c r="G234" s="71" t="s">
        <v>27</v>
      </c>
      <c r="H234" s="67" t="s">
        <v>135</v>
      </c>
      <c r="I234" s="309" t="s">
        <v>63</v>
      </c>
      <c r="J234" s="68"/>
      <c r="K234" s="69"/>
      <c r="L234" s="216"/>
      <c r="M234" s="216"/>
      <c r="N234" s="216">
        <f>N235</f>
        <v>955.89</v>
      </c>
      <c r="O234" s="215"/>
      <c r="P234" s="216"/>
      <c r="Q234" s="216">
        <f>Q235</f>
        <v>0</v>
      </c>
      <c r="R234" s="216">
        <f>R235</f>
        <v>955.89</v>
      </c>
      <c r="S234" s="216">
        <f>S235</f>
        <v>0</v>
      </c>
      <c r="T234" s="215"/>
      <c r="U234" s="216"/>
      <c r="V234" s="216">
        <f>V235</f>
        <v>0</v>
      </c>
      <c r="W234" s="216">
        <f>W235</f>
        <v>0</v>
      </c>
      <c r="X234" s="216">
        <f>X235</f>
        <v>0</v>
      </c>
      <c r="Y234" s="215">
        <f>Y235</f>
        <v>0</v>
      </c>
      <c r="Z234" s="216">
        <f>Z235</f>
        <v>0</v>
      </c>
    </row>
    <row r="235" spans="1:26" s="206" customFormat="1" ht="33" customHeight="1" x14ac:dyDescent="0.2">
      <c r="A235" s="301"/>
      <c r="B235" s="212" t="s">
        <v>64</v>
      </c>
      <c r="C235" s="103" t="s">
        <v>102</v>
      </c>
      <c r="D235" s="66" t="s">
        <v>135</v>
      </c>
      <c r="E235" s="66" t="s">
        <v>135</v>
      </c>
      <c r="F235" s="66" t="s">
        <v>135</v>
      </c>
      <c r="G235" s="71" t="s">
        <v>27</v>
      </c>
      <c r="H235" s="67" t="s">
        <v>135</v>
      </c>
      <c r="I235" s="309" t="s">
        <v>65</v>
      </c>
      <c r="J235" s="68"/>
      <c r="K235" s="69"/>
      <c r="L235" s="216"/>
      <c r="M235" s="216"/>
      <c r="N235" s="216">
        <v>955.89</v>
      </c>
      <c r="O235" s="215"/>
      <c r="P235" s="216"/>
      <c r="Q235" s="216">
        <v>0</v>
      </c>
      <c r="R235" s="216">
        <f>N235</f>
        <v>955.89</v>
      </c>
      <c r="S235" s="216">
        <v>0</v>
      </c>
      <c r="T235" s="215"/>
      <c r="U235" s="216"/>
      <c r="V235" s="216">
        <v>0</v>
      </c>
      <c r="W235" s="216">
        <v>0</v>
      </c>
      <c r="X235" s="216">
        <v>0</v>
      </c>
      <c r="Y235" s="215">
        <v>0</v>
      </c>
      <c r="Z235" s="216">
        <v>0</v>
      </c>
    </row>
    <row r="236" spans="1:26" s="206" customFormat="1" ht="7.5" customHeight="1" x14ac:dyDescent="0.2">
      <c r="A236" s="301"/>
      <c r="B236" s="330"/>
      <c r="C236" s="302"/>
      <c r="D236" s="227"/>
      <c r="E236" s="227"/>
      <c r="F236" s="227"/>
      <c r="G236" s="227"/>
      <c r="H236" s="228"/>
      <c r="I236" s="303"/>
      <c r="J236" s="195"/>
      <c r="K236" s="196"/>
      <c r="L236" s="197"/>
      <c r="M236" s="197"/>
      <c r="N236" s="197"/>
      <c r="O236" s="197"/>
      <c r="P236" s="197"/>
      <c r="Q236" s="197"/>
      <c r="R236" s="197"/>
      <c r="S236" s="197"/>
      <c r="T236" s="203"/>
      <c r="U236" s="203"/>
      <c r="V236" s="197"/>
      <c r="W236" s="197"/>
      <c r="X236" s="203"/>
      <c r="Y236" s="195"/>
      <c r="Z236" s="197"/>
    </row>
    <row r="237" spans="1:26" ht="7.5" customHeight="1" x14ac:dyDescent="0.2">
      <c r="A237" s="304"/>
      <c r="B237" s="374"/>
      <c r="C237" s="318"/>
      <c r="D237" s="318"/>
      <c r="E237" s="318"/>
      <c r="F237" s="318"/>
      <c r="G237" s="318"/>
      <c r="H237" s="331"/>
      <c r="I237" s="242"/>
      <c r="J237" s="310"/>
      <c r="K237" s="311"/>
      <c r="L237" s="312"/>
      <c r="M237" s="312"/>
      <c r="N237" s="312"/>
      <c r="O237" s="312"/>
      <c r="P237" s="312"/>
      <c r="Q237" s="312"/>
      <c r="R237" s="312"/>
      <c r="S237" s="312"/>
      <c r="T237" s="313"/>
      <c r="U237" s="313"/>
      <c r="V237" s="312"/>
      <c r="W237" s="312"/>
      <c r="X237" s="313"/>
      <c r="Y237" s="310"/>
      <c r="Z237" s="312"/>
    </row>
    <row r="238" spans="1:26" s="206" customFormat="1" ht="60" customHeight="1" x14ac:dyDescent="0.2">
      <c r="A238" s="301"/>
      <c r="B238" s="468" t="s">
        <v>312</v>
      </c>
      <c r="C238" s="227" t="s">
        <v>1</v>
      </c>
      <c r="D238" s="227" t="s">
        <v>135</v>
      </c>
      <c r="E238" s="227" t="s">
        <v>135</v>
      </c>
      <c r="F238" s="227" t="s">
        <v>135</v>
      </c>
      <c r="G238" s="227" t="s">
        <v>136</v>
      </c>
      <c r="H238" s="332" t="s">
        <v>135</v>
      </c>
      <c r="I238" s="303"/>
      <c r="J238" s="195" t="e">
        <f>#REF!+#REF!+#REF!+J239+J244+J251+J254+#REF!+J320+J260+J257+J299+#REF!+#REF!+#REF!+#REF!+#REF!+#REF!</f>
        <v>#REF!</v>
      </c>
      <c r="K238" s="196" t="e">
        <f>#REF!+#REF!+#REF!+K239+K244+K251+K254+#REF!+K320+K260+K257+K299+#REF!+#REF!+#REF!+#REF!+#REF!+#REF!</f>
        <v>#REF!</v>
      </c>
      <c r="L238" s="197" t="e">
        <f>L239+L244+L251+L254+L320+L260+L257+L299+#REF!+L276+L279+L282+L285</f>
        <v>#REF!</v>
      </c>
      <c r="M238" s="197" t="e">
        <f>M239+M244+M251+M254+M320+M260+M257+M299+#REF!+M276+M279+M282+M285</f>
        <v>#REF!</v>
      </c>
      <c r="N238" s="197">
        <f>N239+N244+N251+N254+N320+N260+N257+N299+N279+N282+N285+N326+N288+N294+N298+N308+N302+N315+N305+N272+N311+N276+N295+N323+N317+N291</f>
        <v>1256859213.3800001</v>
      </c>
      <c r="O238" s="197">
        <f t="shared" ref="O238:Z238" si="108">O239+O244+O251+O254+O320+O260+O257+O299+O279+O282+O285+O326+O288+O294+O298+O308+O302+O315+O305+O272+O311+O276+O295+O323+O317+O291</f>
        <v>1316811534.29</v>
      </c>
      <c r="P238" s="197">
        <f t="shared" si="108"/>
        <v>2295993.2199999997</v>
      </c>
      <c r="Q238" s="197">
        <f t="shared" si="108"/>
        <v>40245127.060000002</v>
      </c>
      <c r="R238" s="197">
        <f t="shared" si="108"/>
        <v>1297104340.4400001</v>
      </c>
      <c r="S238" s="197">
        <f t="shared" si="108"/>
        <v>1317491620.2900002</v>
      </c>
      <c r="T238" s="197">
        <f t="shared" si="108"/>
        <v>1330226574.3500001</v>
      </c>
      <c r="U238" s="197">
        <f t="shared" si="108"/>
        <v>-5186709.45</v>
      </c>
      <c r="V238" s="197">
        <f t="shared" si="108"/>
        <v>3203464.81</v>
      </c>
      <c r="W238" s="197">
        <f t="shared" si="108"/>
        <v>1320695085.1000004</v>
      </c>
      <c r="X238" s="197">
        <f t="shared" si="108"/>
        <v>1398030827.5999999</v>
      </c>
      <c r="Y238" s="196">
        <f t="shared" si="108"/>
        <v>4589955.2</v>
      </c>
      <c r="Z238" s="197">
        <f t="shared" si="108"/>
        <v>1402620782.8</v>
      </c>
    </row>
    <row r="239" spans="1:26" s="206" customFormat="1" ht="25.5" x14ac:dyDescent="0.2">
      <c r="A239" s="301"/>
      <c r="B239" s="371" t="s">
        <v>29</v>
      </c>
      <c r="C239" s="66" t="s">
        <v>1</v>
      </c>
      <c r="D239" s="66" t="s">
        <v>135</v>
      </c>
      <c r="E239" s="72" t="s">
        <v>135</v>
      </c>
      <c r="F239" s="72" t="s">
        <v>135</v>
      </c>
      <c r="G239" s="66" t="s">
        <v>27</v>
      </c>
      <c r="H239" s="67" t="s">
        <v>135</v>
      </c>
      <c r="I239" s="214"/>
      <c r="J239" s="118">
        <f t="shared" ref="J239:X239" si="109">J240+J242</f>
        <v>17051100</v>
      </c>
      <c r="K239" s="209">
        <f t="shared" si="109"/>
        <v>0</v>
      </c>
      <c r="L239" s="210">
        <f t="shared" si="109"/>
        <v>25112070.050000001</v>
      </c>
      <c r="M239" s="210">
        <f t="shared" si="109"/>
        <v>0</v>
      </c>
      <c r="N239" s="210">
        <f t="shared" si="109"/>
        <v>25112070.050000001</v>
      </c>
      <c r="O239" s="210">
        <f t="shared" si="109"/>
        <v>25112070.050000001</v>
      </c>
      <c r="P239" s="210">
        <f t="shared" si="109"/>
        <v>0</v>
      </c>
      <c r="Q239" s="210">
        <f>Q240+Q242</f>
        <v>-30000</v>
      </c>
      <c r="R239" s="210">
        <f>R240+R242</f>
        <v>25082070.050000001</v>
      </c>
      <c r="S239" s="210">
        <f t="shared" si="109"/>
        <v>25112070.050000001</v>
      </c>
      <c r="T239" s="211">
        <f t="shared" si="109"/>
        <v>25112070.050000001</v>
      </c>
      <c r="U239" s="211">
        <f t="shared" si="109"/>
        <v>0</v>
      </c>
      <c r="V239" s="210">
        <f>V240+V242</f>
        <v>0</v>
      </c>
      <c r="W239" s="210">
        <f>W240+W242</f>
        <v>25112070.050000001</v>
      </c>
      <c r="X239" s="211">
        <f t="shared" si="109"/>
        <v>25112070.050000001</v>
      </c>
      <c r="Y239" s="118">
        <f>Y240+Y242</f>
        <v>0</v>
      </c>
      <c r="Z239" s="210">
        <f>Z240+Z242</f>
        <v>25112070.050000001</v>
      </c>
    </row>
    <row r="240" spans="1:26" s="206" customFormat="1" ht="51" x14ac:dyDescent="0.2">
      <c r="A240" s="301"/>
      <c r="B240" s="362" t="s">
        <v>67</v>
      </c>
      <c r="C240" s="66" t="s">
        <v>1</v>
      </c>
      <c r="D240" s="66" t="s">
        <v>135</v>
      </c>
      <c r="E240" s="72" t="s">
        <v>135</v>
      </c>
      <c r="F240" s="72" t="s">
        <v>135</v>
      </c>
      <c r="G240" s="66" t="s">
        <v>27</v>
      </c>
      <c r="H240" s="67" t="s">
        <v>135</v>
      </c>
      <c r="I240" s="214">
        <v>100</v>
      </c>
      <c r="J240" s="118">
        <f t="shared" ref="J240:Z240" si="110">J241</f>
        <v>16775400</v>
      </c>
      <c r="K240" s="209">
        <f t="shared" si="110"/>
        <v>0</v>
      </c>
      <c r="L240" s="216">
        <f t="shared" si="110"/>
        <v>24836370.050000001</v>
      </c>
      <c r="M240" s="216">
        <f t="shared" si="110"/>
        <v>0</v>
      </c>
      <c r="N240" s="216">
        <f t="shared" si="110"/>
        <v>24836370.050000001</v>
      </c>
      <c r="O240" s="216">
        <f t="shared" si="110"/>
        <v>24836370.050000001</v>
      </c>
      <c r="P240" s="216">
        <f t="shared" si="110"/>
        <v>0</v>
      </c>
      <c r="Q240" s="216">
        <f t="shared" si="110"/>
        <v>68109.490000000005</v>
      </c>
      <c r="R240" s="216">
        <f t="shared" si="110"/>
        <v>24904479.539999999</v>
      </c>
      <c r="S240" s="216">
        <f t="shared" si="110"/>
        <v>24836370.050000001</v>
      </c>
      <c r="T240" s="216">
        <f t="shared" si="110"/>
        <v>24836370.050000001</v>
      </c>
      <c r="U240" s="216">
        <f t="shared" si="110"/>
        <v>0</v>
      </c>
      <c r="V240" s="216">
        <f t="shared" si="110"/>
        <v>0</v>
      </c>
      <c r="W240" s="216">
        <f t="shared" si="110"/>
        <v>24836370.050000001</v>
      </c>
      <c r="X240" s="216">
        <f t="shared" si="110"/>
        <v>24836370.050000001</v>
      </c>
      <c r="Y240" s="215">
        <f t="shared" si="110"/>
        <v>0</v>
      </c>
      <c r="Z240" s="216">
        <f t="shared" si="110"/>
        <v>24836370.050000001</v>
      </c>
    </row>
    <row r="241" spans="1:26" s="206" customFormat="1" ht="25.5" x14ac:dyDescent="0.2">
      <c r="A241" s="301"/>
      <c r="B241" s="362" t="s">
        <v>61</v>
      </c>
      <c r="C241" s="66" t="s">
        <v>1</v>
      </c>
      <c r="D241" s="66" t="s">
        <v>135</v>
      </c>
      <c r="E241" s="72" t="s">
        <v>135</v>
      </c>
      <c r="F241" s="72" t="s">
        <v>135</v>
      </c>
      <c r="G241" s="66" t="s">
        <v>27</v>
      </c>
      <c r="H241" s="67" t="s">
        <v>135</v>
      </c>
      <c r="I241" s="214">
        <v>120</v>
      </c>
      <c r="J241" s="68">
        <v>16775400</v>
      </c>
      <c r="K241" s="215">
        <v>0</v>
      </c>
      <c r="L241" s="216">
        <v>24836370.050000001</v>
      </c>
      <c r="M241" s="216">
        <v>0</v>
      </c>
      <c r="N241" s="216">
        <v>24836370.050000001</v>
      </c>
      <c r="O241" s="216">
        <v>24836370.050000001</v>
      </c>
      <c r="P241" s="216">
        <v>0</v>
      </c>
      <c r="Q241" s="216">
        <v>68109.490000000005</v>
      </c>
      <c r="R241" s="216">
        <f>Q241+N241</f>
        <v>24904479.539999999</v>
      </c>
      <c r="S241" s="216">
        <v>24836370.050000001</v>
      </c>
      <c r="T241" s="216">
        <v>24836370.050000001</v>
      </c>
      <c r="U241" s="216">
        <v>0</v>
      </c>
      <c r="V241" s="216">
        <v>0</v>
      </c>
      <c r="W241" s="216">
        <v>24836370.050000001</v>
      </c>
      <c r="X241" s="216">
        <v>24836370.050000001</v>
      </c>
      <c r="Y241" s="215">
        <v>0</v>
      </c>
      <c r="Z241" s="216">
        <v>24836370.050000001</v>
      </c>
    </row>
    <row r="242" spans="1:26" s="206" customFormat="1" ht="25.5" x14ac:dyDescent="0.2">
      <c r="A242" s="301"/>
      <c r="B242" s="362" t="s">
        <v>52</v>
      </c>
      <c r="C242" s="66" t="s">
        <v>1</v>
      </c>
      <c r="D242" s="66" t="s">
        <v>135</v>
      </c>
      <c r="E242" s="72" t="s">
        <v>135</v>
      </c>
      <c r="F242" s="72" t="s">
        <v>135</v>
      </c>
      <c r="G242" s="66" t="s">
        <v>27</v>
      </c>
      <c r="H242" s="67" t="s">
        <v>135</v>
      </c>
      <c r="I242" s="214">
        <v>200</v>
      </c>
      <c r="J242" s="68">
        <f t="shared" ref="J242:Z242" si="111">J243</f>
        <v>275700</v>
      </c>
      <c r="K242" s="215">
        <f t="shared" si="111"/>
        <v>0</v>
      </c>
      <c r="L242" s="216">
        <f t="shared" si="111"/>
        <v>275700</v>
      </c>
      <c r="M242" s="216">
        <f t="shared" si="111"/>
        <v>0</v>
      </c>
      <c r="N242" s="216">
        <f t="shared" si="111"/>
        <v>275700</v>
      </c>
      <c r="O242" s="216">
        <f t="shared" si="111"/>
        <v>275700</v>
      </c>
      <c r="P242" s="216">
        <f t="shared" si="111"/>
        <v>0</v>
      </c>
      <c r="Q242" s="216">
        <f t="shared" si="111"/>
        <v>-98109.49</v>
      </c>
      <c r="R242" s="216">
        <f t="shared" si="111"/>
        <v>177590.51</v>
      </c>
      <c r="S242" s="216">
        <f t="shared" si="111"/>
        <v>275700</v>
      </c>
      <c r="T242" s="216">
        <f t="shared" si="111"/>
        <v>275700</v>
      </c>
      <c r="U242" s="216">
        <f t="shared" si="111"/>
        <v>0</v>
      </c>
      <c r="V242" s="216">
        <f t="shared" si="111"/>
        <v>0</v>
      </c>
      <c r="W242" s="216">
        <f t="shared" si="111"/>
        <v>275700</v>
      </c>
      <c r="X242" s="216">
        <f t="shared" si="111"/>
        <v>275700</v>
      </c>
      <c r="Y242" s="215">
        <f t="shared" si="111"/>
        <v>0</v>
      </c>
      <c r="Z242" s="216">
        <f t="shared" si="111"/>
        <v>275700</v>
      </c>
    </row>
    <row r="243" spans="1:26" s="206" customFormat="1" ht="25.5" x14ac:dyDescent="0.2">
      <c r="A243" s="301"/>
      <c r="B243" s="362" t="s">
        <v>54</v>
      </c>
      <c r="C243" s="66" t="s">
        <v>1</v>
      </c>
      <c r="D243" s="66" t="s">
        <v>135</v>
      </c>
      <c r="E243" s="72" t="s">
        <v>135</v>
      </c>
      <c r="F243" s="72" t="s">
        <v>135</v>
      </c>
      <c r="G243" s="66" t="s">
        <v>27</v>
      </c>
      <c r="H243" s="67" t="s">
        <v>135</v>
      </c>
      <c r="I243" s="214">
        <v>240</v>
      </c>
      <c r="J243" s="68">
        <v>275700</v>
      </c>
      <c r="K243" s="215">
        <v>0</v>
      </c>
      <c r="L243" s="216">
        <v>275700</v>
      </c>
      <c r="M243" s="216">
        <v>0</v>
      </c>
      <c r="N243" s="216">
        <v>275700</v>
      </c>
      <c r="O243" s="216">
        <v>275700</v>
      </c>
      <c r="P243" s="216">
        <v>0</v>
      </c>
      <c r="Q243" s="216">
        <f>-30000-68109.49</f>
        <v>-98109.49</v>
      </c>
      <c r="R243" s="216">
        <f>Q243+N243</f>
        <v>177590.51</v>
      </c>
      <c r="S243" s="216">
        <v>275700</v>
      </c>
      <c r="T243" s="216">
        <v>275700</v>
      </c>
      <c r="U243" s="216">
        <v>0</v>
      </c>
      <c r="V243" s="216">
        <v>0</v>
      </c>
      <c r="W243" s="216">
        <v>275700</v>
      </c>
      <c r="X243" s="216">
        <v>275700</v>
      </c>
      <c r="Y243" s="215">
        <v>0</v>
      </c>
      <c r="Z243" s="216">
        <v>275700</v>
      </c>
    </row>
    <row r="244" spans="1:26" x14ac:dyDescent="0.2">
      <c r="A244" s="304"/>
      <c r="B244" s="362" t="s">
        <v>129</v>
      </c>
      <c r="C244" s="72" t="s">
        <v>1</v>
      </c>
      <c r="D244" s="73" t="s">
        <v>135</v>
      </c>
      <c r="E244" s="72" t="s">
        <v>135</v>
      </c>
      <c r="F244" s="72" t="s">
        <v>135</v>
      </c>
      <c r="G244" s="74" t="s">
        <v>0</v>
      </c>
      <c r="H244" s="67" t="s">
        <v>135</v>
      </c>
      <c r="I244" s="208"/>
      <c r="J244" s="118">
        <f>J245+J249</f>
        <v>8186469</v>
      </c>
      <c r="K244" s="209">
        <f>K245+K249</f>
        <v>0</v>
      </c>
      <c r="L244" s="210">
        <f t="shared" ref="L244:X244" si="112">L245+L249+L247</f>
        <v>1119511</v>
      </c>
      <c r="M244" s="210">
        <f t="shared" si="112"/>
        <v>502789</v>
      </c>
      <c r="N244" s="210">
        <f t="shared" si="112"/>
        <v>1622300</v>
      </c>
      <c r="O244" s="210">
        <f t="shared" si="112"/>
        <v>37290778</v>
      </c>
      <c r="P244" s="210">
        <f t="shared" si="112"/>
        <v>516696</v>
      </c>
      <c r="Q244" s="210">
        <f>Q245+Q249+Q247</f>
        <v>516060</v>
      </c>
      <c r="R244" s="210">
        <f>R245+R249+R247</f>
        <v>2138360</v>
      </c>
      <c r="S244" s="210">
        <f t="shared" si="112"/>
        <v>37807474</v>
      </c>
      <c r="T244" s="210">
        <f t="shared" si="112"/>
        <v>23204705</v>
      </c>
      <c r="U244" s="210">
        <f t="shared" si="112"/>
        <v>533471</v>
      </c>
      <c r="V244" s="210">
        <f>V245+V249+V247</f>
        <v>0</v>
      </c>
      <c r="W244" s="210">
        <f>W245+W249+W247</f>
        <v>37807474</v>
      </c>
      <c r="X244" s="210">
        <f t="shared" si="112"/>
        <v>23738176</v>
      </c>
      <c r="Y244" s="209">
        <f>Y245+Y249+Y247</f>
        <v>0</v>
      </c>
      <c r="Z244" s="210">
        <f>Z245+Z249+Z247</f>
        <v>23738176</v>
      </c>
    </row>
    <row r="245" spans="1:26" ht="25.5" x14ac:dyDescent="0.2">
      <c r="A245" s="304"/>
      <c r="B245" s="364" t="s">
        <v>126</v>
      </c>
      <c r="C245" s="300" t="s">
        <v>1</v>
      </c>
      <c r="D245" s="300" t="s">
        <v>135</v>
      </c>
      <c r="E245" s="72" t="s">
        <v>135</v>
      </c>
      <c r="F245" s="72" t="s">
        <v>135</v>
      </c>
      <c r="G245" s="300" t="s">
        <v>0</v>
      </c>
      <c r="H245" s="67" t="s">
        <v>135</v>
      </c>
      <c r="I245" s="260" t="s">
        <v>53</v>
      </c>
      <c r="J245" s="118">
        <f t="shared" ref="J245:Z245" si="113">J246</f>
        <v>69000</v>
      </c>
      <c r="K245" s="209">
        <f t="shared" si="113"/>
        <v>0</v>
      </c>
      <c r="L245" s="210">
        <f t="shared" si="113"/>
        <v>0</v>
      </c>
      <c r="M245" s="210">
        <f t="shared" si="113"/>
        <v>0</v>
      </c>
      <c r="N245" s="210">
        <f t="shared" si="113"/>
        <v>0</v>
      </c>
      <c r="O245" s="210">
        <f t="shared" si="113"/>
        <v>69000</v>
      </c>
      <c r="P245" s="210">
        <f t="shared" si="113"/>
        <v>0</v>
      </c>
      <c r="Q245" s="210">
        <f t="shared" si="113"/>
        <v>0</v>
      </c>
      <c r="R245" s="210">
        <f t="shared" si="113"/>
        <v>0</v>
      </c>
      <c r="S245" s="210">
        <f t="shared" si="113"/>
        <v>69000</v>
      </c>
      <c r="T245" s="211">
        <f t="shared" si="113"/>
        <v>69000</v>
      </c>
      <c r="U245" s="211">
        <f t="shared" si="113"/>
        <v>0</v>
      </c>
      <c r="V245" s="210">
        <f t="shared" si="113"/>
        <v>0</v>
      </c>
      <c r="W245" s="210">
        <f t="shared" si="113"/>
        <v>69000</v>
      </c>
      <c r="X245" s="211">
        <f t="shared" si="113"/>
        <v>69000</v>
      </c>
      <c r="Y245" s="118">
        <f t="shared" si="113"/>
        <v>0</v>
      </c>
      <c r="Z245" s="210">
        <f t="shared" si="113"/>
        <v>69000</v>
      </c>
    </row>
    <row r="246" spans="1:26" ht="25.5" x14ac:dyDescent="0.2">
      <c r="A246" s="304"/>
      <c r="B246" s="364" t="s">
        <v>54</v>
      </c>
      <c r="C246" s="300" t="s">
        <v>1</v>
      </c>
      <c r="D246" s="300" t="s">
        <v>135</v>
      </c>
      <c r="E246" s="72" t="s">
        <v>135</v>
      </c>
      <c r="F246" s="72" t="s">
        <v>135</v>
      </c>
      <c r="G246" s="300" t="s">
        <v>0</v>
      </c>
      <c r="H246" s="67" t="s">
        <v>135</v>
      </c>
      <c r="I246" s="260" t="s">
        <v>55</v>
      </c>
      <c r="J246" s="118">
        <v>69000</v>
      </c>
      <c r="K246" s="209">
        <v>0</v>
      </c>
      <c r="L246" s="210">
        <v>0</v>
      </c>
      <c r="M246" s="210">
        <v>0</v>
      </c>
      <c r="N246" s="210">
        <v>0</v>
      </c>
      <c r="O246" s="210">
        <v>69000</v>
      </c>
      <c r="P246" s="210">
        <v>0</v>
      </c>
      <c r="Q246" s="210">
        <v>0</v>
      </c>
      <c r="R246" s="210">
        <v>0</v>
      </c>
      <c r="S246" s="210">
        <v>69000</v>
      </c>
      <c r="T246" s="211">
        <v>69000</v>
      </c>
      <c r="U246" s="211">
        <v>0</v>
      </c>
      <c r="V246" s="210">
        <v>0</v>
      </c>
      <c r="W246" s="210">
        <v>69000</v>
      </c>
      <c r="X246" s="211">
        <v>69000</v>
      </c>
      <c r="Y246" s="118">
        <v>0</v>
      </c>
      <c r="Z246" s="210">
        <v>69000</v>
      </c>
    </row>
    <row r="247" spans="1:26" x14ac:dyDescent="0.2">
      <c r="A247" s="304"/>
      <c r="B247" s="362" t="s">
        <v>56</v>
      </c>
      <c r="C247" s="300" t="s">
        <v>1</v>
      </c>
      <c r="D247" s="300" t="s">
        <v>135</v>
      </c>
      <c r="E247" s="72" t="s">
        <v>135</v>
      </c>
      <c r="F247" s="72" t="s">
        <v>135</v>
      </c>
      <c r="G247" s="300" t="s">
        <v>0</v>
      </c>
      <c r="H247" s="67" t="s">
        <v>135</v>
      </c>
      <c r="I247" s="260" t="s">
        <v>57</v>
      </c>
      <c r="J247" s="118">
        <f t="shared" ref="J247:Z247" si="114">J248</f>
        <v>69000</v>
      </c>
      <c r="K247" s="209">
        <f t="shared" si="114"/>
        <v>0</v>
      </c>
      <c r="L247" s="210">
        <f t="shared" si="114"/>
        <v>0</v>
      </c>
      <c r="M247" s="210">
        <f t="shared" si="114"/>
        <v>0</v>
      </c>
      <c r="N247" s="210">
        <f t="shared" si="114"/>
        <v>0</v>
      </c>
      <c r="O247" s="210">
        <f t="shared" si="114"/>
        <v>117200</v>
      </c>
      <c r="P247" s="210">
        <f t="shared" si="114"/>
        <v>0</v>
      </c>
      <c r="Q247" s="210">
        <f t="shared" si="114"/>
        <v>0</v>
      </c>
      <c r="R247" s="210">
        <f t="shared" si="114"/>
        <v>0</v>
      </c>
      <c r="S247" s="210">
        <f t="shared" si="114"/>
        <v>117200</v>
      </c>
      <c r="T247" s="211">
        <f t="shared" si="114"/>
        <v>117200</v>
      </c>
      <c r="U247" s="211">
        <f t="shared" si="114"/>
        <v>0</v>
      </c>
      <c r="V247" s="210">
        <f t="shared" si="114"/>
        <v>0</v>
      </c>
      <c r="W247" s="210">
        <f t="shared" si="114"/>
        <v>117200</v>
      </c>
      <c r="X247" s="211">
        <f t="shared" si="114"/>
        <v>117200</v>
      </c>
      <c r="Y247" s="118">
        <f t="shared" si="114"/>
        <v>0</v>
      </c>
      <c r="Z247" s="210">
        <f t="shared" si="114"/>
        <v>117200</v>
      </c>
    </row>
    <row r="248" spans="1:26" x14ac:dyDescent="0.2">
      <c r="A248" s="304"/>
      <c r="B248" s="362" t="s">
        <v>377</v>
      </c>
      <c r="C248" s="300" t="s">
        <v>1</v>
      </c>
      <c r="D248" s="300" t="s">
        <v>135</v>
      </c>
      <c r="E248" s="72" t="s">
        <v>135</v>
      </c>
      <c r="F248" s="72" t="s">
        <v>135</v>
      </c>
      <c r="G248" s="300" t="s">
        <v>0</v>
      </c>
      <c r="H248" s="67" t="s">
        <v>135</v>
      </c>
      <c r="I248" s="260" t="s">
        <v>376</v>
      </c>
      <c r="J248" s="118">
        <v>69000</v>
      </c>
      <c r="K248" s="209">
        <v>0</v>
      </c>
      <c r="L248" s="210">
        <v>0</v>
      </c>
      <c r="M248" s="210">
        <v>0</v>
      </c>
      <c r="N248" s="210">
        <v>0</v>
      </c>
      <c r="O248" s="210">
        <v>117200</v>
      </c>
      <c r="P248" s="210">
        <v>0</v>
      </c>
      <c r="Q248" s="210">
        <v>0</v>
      </c>
      <c r="R248" s="210">
        <v>0</v>
      </c>
      <c r="S248" s="210">
        <v>117200</v>
      </c>
      <c r="T248" s="211">
        <v>117200</v>
      </c>
      <c r="U248" s="211">
        <v>0</v>
      </c>
      <c r="V248" s="210">
        <v>0</v>
      </c>
      <c r="W248" s="210">
        <v>117200</v>
      </c>
      <c r="X248" s="211">
        <v>117200</v>
      </c>
      <c r="Y248" s="118">
        <v>0</v>
      </c>
      <c r="Z248" s="210">
        <v>117200</v>
      </c>
    </row>
    <row r="249" spans="1:26" ht="25.5" x14ac:dyDescent="0.2">
      <c r="A249" s="304"/>
      <c r="B249" s="362" t="s">
        <v>21</v>
      </c>
      <c r="C249" s="72" t="s">
        <v>1</v>
      </c>
      <c r="D249" s="73" t="s">
        <v>135</v>
      </c>
      <c r="E249" s="72" t="s">
        <v>135</v>
      </c>
      <c r="F249" s="72" t="s">
        <v>135</v>
      </c>
      <c r="G249" s="74" t="s">
        <v>0</v>
      </c>
      <c r="H249" s="67" t="s">
        <v>135</v>
      </c>
      <c r="I249" s="208">
        <v>600</v>
      </c>
      <c r="J249" s="118">
        <f>J250</f>
        <v>8117469</v>
      </c>
      <c r="K249" s="209">
        <f>K250</f>
        <v>0</v>
      </c>
      <c r="L249" s="216">
        <f>L250</f>
        <v>1119511</v>
      </c>
      <c r="M249" s="216">
        <f>M250</f>
        <v>502789</v>
      </c>
      <c r="N249" s="216">
        <f>N250</f>
        <v>1622300</v>
      </c>
      <c r="O249" s="210">
        <f t="shared" ref="O249:Z249" si="115">O250</f>
        <v>37104578</v>
      </c>
      <c r="P249" s="210">
        <f t="shared" si="115"/>
        <v>516696</v>
      </c>
      <c r="Q249" s="216">
        <f>Q250</f>
        <v>516060</v>
      </c>
      <c r="R249" s="216">
        <f>R250</f>
        <v>2138360</v>
      </c>
      <c r="S249" s="210">
        <f t="shared" si="115"/>
        <v>37621274</v>
      </c>
      <c r="T249" s="211">
        <f t="shared" si="115"/>
        <v>23018505</v>
      </c>
      <c r="U249" s="211">
        <f t="shared" si="115"/>
        <v>533471</v>
      </c>
      <c r="V249" s="210">
        <f t="shared" si="115"/>
        <v>0</v>
      </c>
      <c r="W249" s="210">
        <f t="shared" si="115"/>
        <v>37621274</v>
      </c>
      <c r="X249" s="211">
        <f t="shared" si="115"/>
        <v>23551976</v>
      </c>
      <c r="Y249" s="118">
        <f t="shared" si="115"/>
        <v>0</v>
      </c>
      <c r="Z249" s="210">
        <f t="shared" si="115"/>
        <v>23551976</v>
      </c>
    </row>
    <row r="250" spans="1:26" x14ac:dyDescent="0.2">
      <c r="A250" s="304"/>
      <c r="B250" s="362" t="s">
        <v>22</v>
      </c>
      <c r="C250" s="72" t="s">
        <v>1</v>
      </c>
      <c r="D250" s="73" t="s">
        <v>135</v>
      </c>
      <c r="E250" s="72" t="s">
        <v>135</v>
      </c>
      <c r="F250" s="72" t="s">
        <v>135</v>
      </c>
      <c r="G250" s="74" t="s">
        <v>0</v>
      </c>
      <c r="H250" s="67" t="s">
        <v>135</v>
      </c>
      <c r="I250" s="208" t="s">
        <v>23</v>
      </c>
      <c r="J250" s="68">
        <f>6401169+1629100+87200</f>
        <v>8117469</v>
      </c>
      <c r="K250" s="215">
        <v>0</v>
      </c>
      <c r="L250" s="216">
        <f>954100+165411</f>
        <v>1119511</v>
      </c>
      <c r="M250" s="216">
        <v>502789</v>
      </c>
      <c r="N250" s="216">
        <f>M250+L250</f>
        <v>1622300</v>
      </c>
      <c r="O250" s="216">
        <f>120000+39400+348300+601200+176000+1000000+26601300+3696000+1535400+1097000+1609100+133778+147100</f>
        <v>37104578</v>
      </c>
      <c r="P250" s="216">
        <v>516696</v>
      </c>
      <c r="Q250" s="216">
        <v>516060</v>
      </c>
      <c r="R250" s="216">
        <f>Q250+N250</f>
        <v>2138360</v>
      </c>
      <c r="S250" s="216">
        <f>P250+O250</f>
        <v>37621274</v>
      </c>
      <c r="T250" s="216">
        <f>120000+39400+348300+601200+176000+13672200+5150500+1056600+147100+1609100+98105</f>
        <v>23018505</v>
      </c>
      <c r="U250" s="216">
        <v>533471</v>
      </c>
      <c r="V250" s="216">
        <v>0</v>
      </c>
      <c r="W250" s="216">
        <v>37621274</v>
      </c>
      <c r="X250" s="216">
        <f>T250+U250</f>
        <v>23551976</v>
      </c>
      <c r="Y250" s="215">
        <v>0</v>
      </c>
      <c r="Z250" s="216">
        <v>23551976</v>
      </c>
    </row>
    <row r="251" spans="1:26" ht="25.5" x14ac:dyDescent="0.2">
      <c r="A251" s="304"/>
      <c r="B251" s="362" t="s">
        <v>147</v>
      </c>
      <c r="C251" s="72" t="s">
        <v>1</v>
      </c>
      <c r="D251" s="73" t="s">
        <v>135</v>
      </c>
      <c r="E251" s="72" t="s">
        <v>135</v>
      </c>
      <c r="F251" s="72" t="s">
        <v>135</v>
      </c>
      <c r="G251" s="74" t="s">
        <v>148</v>
      </c>
      <c r="H251" s="67" t="s">
        <v>135</v>
      </c>
      <c r="I251" s="208"/>
      <c r="J251" s="118">
        <f t="shared" ref="J251:Y252" si="116">J252</f>
        <v>306406674</v>
      </c>
      <c r="K251" s="209">
        <f t="shared" si="116"/>
        <v>0</v>
      </c>
      <c r="L251" s="210">
        <f t="shared" si="116"/>
        <v>398404424.44</v>
      </c>
      <c r="M251" s="210">
        <f t="shared" si="116"/>
        <v>-109964.4</v>
      </c>
      <c r="N251" s="210">
        <f t="shared" si="116"/>
        <v>398191011.69999999</v>
      </c>
      <c r="O251" s="210">
        <f t="shared" si="116"/>
        <v>403276517.44</v>
      </c>
      <c r="P251" s="210">
        <f t="shared" si="116"/>
        <v>-5421631.4000000004</v>
      </c>
      <c r="Q251" s="210">
        <f t="shared" si="116"/>
        <v>-516060</v>
      </c>
      <c r="R251" s="210">
        <f t="shared" si="116"/>
        <v>397674951.69999999</v>
      </c>
      <c r="S251" s="210">
        <f t="shared" si="116"/>
        <v>397854886.04000002</v>
      </c>
      <c r="T251" s="211">
        <f t="shared" si="116"/>
        <v>402824630.44</v>
      </c>
      <c r="U251" s="211">
        <f t="shared" si="116"/>
        <v>-5438406.4000000004</v>
      </c>
      <c r="V251" s="210">
        <f t="shared" si="116"/>
        <v>0</v>
      </c>
      <c r="W251" s="210">
        <f t="shared" si="116"/>
        <v>397854886.04000002</v>
      </c>
      <c r="X251" s="211">
        <f t="shared" si="116"/>
        <v>397386224.04000002</v>
      </c>
      <c r="Y251" s="118">
        <f t="shared" si="116"/>
        <v>0</v>
      </c>
      <c r="Z251" s="210">
        <f>Z252</f>
        <v>397386224.04000002</v>
      </c>
    </row>
    <row r="252" spans="1:26" ht="25.5" x14ac:dyDescent="0.2">
      <c r="A252" s="304"/>
      <c r="B252" s="362" t="s">
        <v>21</v>
      </c>
      <c r="C252" s="66" t="s">
        <v>1</v>
      </c>
      <c r="D252" s="70" t="s">
        <v>135</v>
      </c>
      <c r="E252" s="72" t="s">
        <v>135</v>
      </c>
      <c r="F252" s="72" t="s">
        <v>135</v>
      </c>
      <c r="G252" s="71" t="s">
        <v>148</v>
      </c>
      <c r="H252" s="67" t="s">
        <v>135</v>
      </c>
      <c r="I252" s="208">
        <v>600</v>
      </c>
      <c r="J252" s="118">
        <f t="shared" si="116"/>
        <v>306406674</v>
      </c>
      <c r="K252" s="209">
        <f t="shared" si="116"/>
        <v>0</v>
      </c>
      <c r="L252" s="210">
        <f t="shared" si="116"/>
        <v>398404424.44</v>
      </c>
      <c r="M252" s="210">
        <f t="shared" si="116"/>
        <v>-109964.4</v>
      </c>
      <c r="N252" s="210">
        <f t="shared" si="116"/>
        <v>398191011.69999999</v>
      </c>
      <c r="O252" s="210">
        <f t="shared" si="116"/>
        <v>403276517.44</v>
      </c>
      <c r="P252" s="210">
        <f t="shared" si="116"/>
        <v>-5421631.4000000004</v>
      </c>
      <c r="Q252" s="210">
        <f t="shared" si="116"/>
        <v>-516060</v>
      </c>
      <c r="R252" s="210">
        <f t="shared" si="116"/>
        <v>397674951.69999999</v>
      </c>
      <c r="S252" s="210">
        <f t="shared" si="116"/>
        <v>397854886.04000002</v>
      </c>
      <c r="T252" s="211">
        <f t="shared" si="116"/>
        <v>402824630.44</v>
      </c>
      <c r="U252" s="211">
        <f t="shared" si="116"/>
        <v>-5438406.4000000004</v>
      </c>
      <c r="V252" s="210">
        <f t="shared" si="116"/>
        <v>0</v>
      </c>
      <c r="W252" s="210">
        <f t="shared" si="116"/>
        <v>397854886.04000002</v>
      </c>
      <c r="X252" s="211">
        <f t="shared" si="116"/>
        <v>397386224.04000002</v>
      </c>
      <c r="Y252" s="118">
        <f>Y253</f>
        <v>0</v>
      </c>
      <c r="Z252" s="210">
        <f>Z253</f>
        <v>397386224.04000002</v>
      </c>
    </row>
    <row r="253" spans="1:26" x14ac:dyDescent="0.2">
      <c r="A253" s="304"/>
      <c r="B253" s="362" t="s">
        <v>22</v>
      </c>
      <c r="C253" s="66" t="s">
        <v>1</v>
      </c>
      <c r="D253" s="70" t="s">
        <v>135</v>
      </c>
      <c r="E253" s="72" t="s">
        <v>135</v>
      </c>
      <c r="F253" s="72" t="s">
        <v>135</v>
      </c>
      <c r="G253" s="71" t="s">
        <v>148</v>
      </c>
      <c r="H253" s="67" t="s">
        <v>135</v>
      </c>
      <c r="I253" s="208" t="s">
        <v>23</v>
      </c>
      <c r="J253" s="68">
        <f>216164874+90241800</f>
        <v>306406674</v>
      </c>
      <c r="K253" s="215">
        <v>0</v>
      </c>
      <c r="L253" s="216">
        <f>283404424.44+115000000</f>
        <v>398404424.44</v>
      </c>
      <c r="M253" s="216">
        <v>-109964.4</v>
      </c>
      <c r="N253" s="216">
        <v>398191011.69999999</v>
      </c>
      <c r="O253" s="216">
        <f>286276517.44+117000000</f>
        <v>403276517.44</v>
      </c>
      <c r="P253" s="216">
        <f>-148831.4-5272800</f>
        <v>-5421631.4000000004</v>
      </c>
      <c r="Q253" s="216">
        <f>-516060</f>
        <v>-516060</v>
      </c>
      <c r="R253" s="216">
        <f>Q253+N253</f>
        <v>397674951.69999999</v>
      </c>
      <c r="S253" s="216">
        <f>O253+P253</f>
        <v>397854886.04000002</v>
      </c>
      <c r="T253" s="216">
        <f>284559630.44+1265000+117000000</f>
        <v>402824630.44</v>
      </c>
      <c r="U253" s="216">
        <f>-165606.4-5272800</f>
        <v>-5438406.4000000004</v>
      </c>
      <c r="V253" s="216">
        <v>0</v>
      </c>
      <c r="W253" s="216">
        <v>397854886.04000002</v>
      </c>
      <c r="X253" s="216">
        <f>T253+U253</f>
        <v>397386224.04000002</v>
      </c>
      <c r="Y253" s="215">
        <v>0</v>
      </c>
      <c r="Z253" s="216">
        <v>397386224.04000002</v>
      </c>
    </row>
    <row r="254" spans="1:26" ht="25.5" x14ac:dyDescent="0.2">
      <c r="A254" s="304"/>
      <c r="B254" s="362" t="s">
        <v>150</v>
      </c>
      <c r="C254" s="66" t="s">
        <v>1</v>
      </c>
      <c r="D254" s="70" t="s">
        <v>135</v>
      </c>
      <c r="E254" s="72" t="s">
        <v>135</v>
      </c>
      <c r="F254" s="72" t="s">
        <v>135</v>
      </c>
      <c r="G254" s="71" t="s">
        <v>151</v>
      </c>
      <c r="H254" s="67" t="s">
        <v>135</v>
      </c>
      <c r="I254" s="208"/>
      <c r="J254" s="118">
        <f t="shared" ref="J254:Y255" si="117">J255</f>
        <v>20952780</v>
      </c>
      <c r="K254" s="209">
        <f t="shared" si="117"/>
        <v>0</v>
      </c>
      <c r="L254" s="216">
        <f t="shared" si="117"/>
        <v>24801544.559999999</v>
      </c>
      <c r="M254" s="216">
        <f t="shared" si="117"/>
        <v>61475.4</v>
      </c>
      <c r="N254" s="216">
        <f t="shared" si="117"/>
        <v>24863019.959999997</v>
      </c>
      <c r="O254" s="215">
        <f t="shared" si="117"/>
        <v>19528744.559999999</v>
      </c>
      <c r="P254" s="216">
        <f t="shared" si="117"/>
        <v>5334275.4000000004</v>
      </c>
      <c r="Q254" s="216">
        <f t="shared" si="117"/>
        <v>0</v>
      </c>
      <c r="R254" s="216">
        <f t="shared" si="117"/>
        <v>24863019.960000001</v>
      </c>
      <c r="S254" s="216">
        <f t="shared" si="117"/>
        <v>24863019.960000001</v>
      </c>
      <c r="T254" s="216">
        <f t="shared" si="117"/>
        <v>19528744.559999999</v>
      </c>
      <c r="U254" s="216">
        <f t="shared" si="117"/>
        <v>5334275.4000000004</v>
      </c>
      <c r="V254" s="216">
        <f t="shared" si="117"/>
        <v>0</v>
      </c>
      <c r="W254" s="216">
        <f t="shared" si="117"/>
        <v>24863019.960000001</v>
      </c>
      <c r="X254" s="216">
        <f t="shared" si="117"/>
        <v>24863019.960000001</v>
      </c>
      <c r="Y254" s="215">
        <f t="shared" si="117"/>
        <v>0</v>
      </c>
      <c r="Z254" s="216">
        <f>Z255</f>
        <v>24863019.960000001</v>
      </c>
    </row>
    <row r="255" spans="1:26" ht="25.5" x14ac:dyDescent="0.2">
      <c r="A255" s="304"/>
      <c r="B255" s="362" t="s">
        <v>21</v>
      </c>
      <c r="C255" s="66" t="s">
        <v>1</v>
      </c>
      <c r="D255" s="70" t="s">
        <v>135</v>
      </c>
      <c r="E255" s="72" t="s">
        <v>135</v>
      </c>
      <c r="F255" s="72" t="s">
        <v>135</v>
      </c>
      <c r="G255" s="71" t="s">
        <v>151</v>
      </c>
      <c r="H255" s="67" t="s">
        <v>135</v>
      </c>
      <c r="I255" s="208">
        <v>600</v>
      </c>
      <c r="J255" s="118">
        <f t="shared" si="117"/>
        <v>20952780</v>
      </c>
      <c r="K255" s="209">
        <f t="shared" si="117"/>
        <v>0</v>
      </c>
      <c r="L255" s="216">
        <f t="shared" si="117"/>
        <v>24801544.559999999</v>
      </c>
      <c r="M255" s="216">
        <f t="shared" si="117"/>
        <v>61475.4</v>
      </c>
      <c r="N255" s="216">
        <f t="shared" si="117"/>
        <v>24863019.959999997</v>
      </c>
      <c r="O255" s="215">
        <f t="shared" si="117"/>
        <v>19528744.559999999</v>
      </c>
      <c r="P255" s="216">
        <f t="shared" si="117"/>
        <v>5334275.4000000004</v>
      </c>
      <c r="Q255" s="216">
        <f t="shared" si="117"/>
        <v>0</v>
      </c>
      <c r="R255" s="216">
        <f t="shared" si="117"/>
        <v>24863019.960000001</v>
      </c>
      <c r="S255" s="216">
        <f t="shared" si="117"/>
        <v>24863019.960000001</v>
      </c>
      <c r="T255" s="216">
        <f t="shared" si="117"/>
        <v>19528744.559999999</v>
      </c>
      <c r="U255" s="216">
        <f t="shared" si="117"/>
        <v>5334275.4000000004</v>
      </c>
      <c r="V255" s="216">
        <f t="shared" si="117"/>
        <v>0</v>
      </c>
      <c r="W255" s="216">
        <f t="shared" si="117"/>
        <v>24863019.960000001</v>
      </c>
      <c r="X255" s="216">
        <f t="shared" si="117"/>
        <v>24863019.960000001</v>
      </c>
      <c r="Y255" s="215">
        <f>Y256</f>
        <v>0</v>
      </c>
      <c r="Z255" s="216">
        <f>Z256</f>
        <v>24863019.960000001</v>
      </c>
    </row>
    <row r="256" spans="1:26" x14ac:dyDescent="0.2">
      <c r="A256" s="304"/>
      <c r="B256" s="362" t="s">
        <v>22</v>
      </c>
      <c r="C256" s="66" t="s">
        <v>1</v>
      </c>
      <c r="D256" s="70" t="s">
        <v>135</v>
      </c>
      <c r="E256" s="72" t="s">
        <v>135</v>
      </c>
      <c r="F256" s="72" t="s">
        <v>135</v>
      </c>
      <c r="G256" s="71" t="s">
        <v>151</v>
      </c>
      <c r="H256" s="67" t="s">
        <v>135</v>
      </c>
      <c r="I256" s="208" t="s">
        <v>23</v>
      </c>
      <c r="J256" s="64">
        <v>20952780</v>
      </c>
      <c r="K256" s="223">
        <v>0</v>
      </c>
      <c r="L256" s="224">
        <f>19528744.56+5272800</f>
        <v>24801544.559999999</v>
      </c>
      <c r="M256" s="224">
        <v>61475.4</v>
      </c>
      <c r="N256" s="224">
        <f>M256+L256</f>
        <v>24863019.959999997</v>
      </c>
      <c r="O256" s="223">
        <v>19528744.559999999</v>
      </c>
      <c r="P256" s="224">
        <f>61475.4+5272800</f>
        <v>5334275.4000000004</v>
      </c>
      <c r="Q256" s="224">
        <v>0</v>
      </c>
      <c r="R256" s="224">
        <v>24863019.960000001</v>
      </c>
      <c r="S256" s="224">
        <f>P256+O256</f>
        <v>24863019.960000001</v>
      </c>
      <c r="T256" s="224">
        <v>19528744.559999999</v>
      </c>
      <c r="U256" s="224">
        <f>61475.4+5272800</f>
        <v>5334275.4000000004</v>
      </c>
      <c r="V256" s="224">
        <v>0</v>
      </c>
      <c r="W256" s="224">
        <v>24863019.960000001</v>
      </c>
      <c r="X256" s="224">
        <f>U256+T256</f>
        <v>24863019.960000001</v>
      </c>
      <c r="Y256" s="223">
        <v>0</v>
      </c>
      <c r="Z256" s="224">
        <f>W256+V256</f>
        <v>24863019.960000001</v>
      </c>
    </row>
    <row r="257" spans="1:26" ht="38.25" x14ac:dyDescent="0.2">
      <c r="A257" s="304"/>
      <c r="B257" s="363" t="s">
        <v>354</v>
      </c>
      <c r="C257" s="66" t="s">
        <v>1</v>
      </c>
      <c r="D257" s="70" t="s">
        <v>135</v>
      </c>
      <c r="E257" s="66" t="s">
        <v>135</v>
      </c>
      <c r="F257" s="66" t="s">
        <v>135</v>
      </c>
      <c r="G257" s="71" t="s">
        <v>225</v>
      </c>
      <c r="H257" s="67" t="s">
        <v>135</v>
      </c>
      <c r="I257" s="208"/>
      <c r="J257" s="118">
        <f t="shared" ref="J257:Y258" si="118">J258</f>
        <v>268000</v>
      </c>
      <c r="K257" s="209">
        <f t="shared" si="118"/>
        <v>0</v>
      </c>
      <c r="L257" s="210">
        <f t="shared" si="118"/>
        <v>268000</v>
      </c>
      <c r="M257" s="210">
        <f t="shared" si="118"/>
        <v>0</v>
      </c>
      <c r="N257" s="210">
        <f t="shared" si="118"/>
        <v>268000</v>
      </c>
      <c r="O257" s="210">
        <f t="shared" si="118"/>
        <v>268000</v>
      </c>
      <c r="P257" s="210">
        <f t="shared" si="118"/>
        <v>0</v>
      </c>
      <c r="Q257" s="210">
        <f t="shared" si="118"/>
        <v>0</v>
      </c>
      <c r="R257" s="210">
        <f t="shared" si="118"/>
        <v>268000</v>
      </c>
      <c r="S257" s="210">
        <f t="shared" si="118"/>
        <v>268000</v>
      </c>
      <c r="T257" s="211">
        <f t="shared" si="118"/>
        <v>268000</v>
      </c>
      <c r="U257" s="211">
        <f t="shared" si="118"/>
        <v>0</v>
      </c>
      <c r="V257" s="210">
        <f t="shared" si="118"/>
        <v>0</v>
      </c>
      <c r="W257" s="210">
        <f t="shared" si="118"/>
        <v>268000</v>
      </c>
      <c r="X257" s="211">
        <f t="shared" si="118"/>
        <v>268000</v>
      </c>
      <c r="Y257" s="118">
        <f t="shared" si="118"/>
        <v>0</v>
      </c>
      <c r="Z257" s="210">
        <f>Z258</f>
        <v>268000</v>
      </c>
    </row>
    <row r="258" spans="1:26" ht="25.5" x14ac:dyDescent="0.2">
      <c r="A258" s="304"/>
      <c r="B258" s="362" t="s">
        <v>21</v>
      </c>
      <c r="C258" s="66" t="s">
        <v>1</v>
      </c>
      <c r="D258" s="70" t="s">
        <v>135</v>
      </c>
      <c r="E258" s="66" t="s">
        <v>135</v>
      </c>
      <c r="F258" s="66" t="s">
        <v>135</v>
      </c>
      <c r="G258" s="71" t="s">
        <v>225</v>
      </c>
      <c r="H258" s="67" t="s">
        <v>135</v>
      </c>
      <c r="I258" s="208" t="s">
        <v>149</v>
      </c>
      <c r="J258" s="118">
        <f t="shared" si="118"/>
        <v>268000</v>
      </c>
      <c r="K258" s="209">
        <f t="shared" si="118"/>
        <v>0</v>
      </c>
      <c r="L258" s="210">
        <f t="shared" si="118"/>
        <v>268000</v>
      </c>
      <c r="M258" s="210">
        <f t="shared" si="118"/>
        <v>0</v>
      </c>
      <c r="N258" s="210">
        <f t="shared" si="118"/>
        <v>268000</v>
      </c>
      <c r="O258" s="210">
        <f t="shared" si="118"/>
        <v>268000</v>
      </c>
      <c r="P258" s="210">
        <f t="shared" si="118"/>
        <v>0</v>
      </c>
      <c r="Q258" s="210">
        <f t="shared" si="118"/>
        <v>0</v>
      </c>
      <c r="R258" s="210">
        <f t="shared" si="118"/>
        <v>268000</v>
      </c>
      <c r="S258" s="210">
        <f t="shared" si="118"/>
        <v>268000</v>
      </c>
      <c r="T258" s="211">
        <f t="shared" si="118"/>
        <v>268000</v>
      </c>
      <c r="U258" s="211">
        <f t="shared" si="118"/>
        <v>0</v>
      </c>
      <c r="V258" s="210">
        <f t="shared" si="118"/>
        <v>0</v>
      </c>
      <c r="W258" s="210">
        <f t="shared" si="118"/>
        <v>268000</v>
      </c>
      <c r="X258" s="211">
        <f t="shared" si="118"/>
        <v>268000</v>
      </c>
      <c r="Y258" s="118">
        <f>Y259</f>
        <v>0</v>
      </c>
      <c r="Z258" s="210">
        <f>Z259</f>
        <v>268000</v>
      </c>
    </row>
    <row r="259" spans="1:26" x14ac:dyDescent="0.2">
      <c r="A259" s="304"/>
      <c r="B259" s="362" t="s">
        <v>22</v>
      </c>
      <c r="C259" s="66" t="s">
        <v>1</v>
      </c>
      <c r="D259" s="70" t="s">
        <v>135</v>
      </c>
      <c r="E259" s="66" t="s">
        <v>135</v>
      </c>
      <c r="F259" s="66" t="s">
        <v>135</v>
      </c>
      <c r="G259" s="71" t="s">
        <v>225</v>
      </c>
      <c r="H259" s="67" t="s">
        <v>135</v>
      </c>
      <c r="I259" s="208" t="s">
        <v>23</v>
      </c>
      <c r="J259" s="118">
        <v>268000</v>
      </c>
      <c r="K259" s="209">
        <v>0</v>
      </c>
      <c r="L259" s="224">
        <v>268000</v>
      </c>
      <c r="M259" s="224">
        <v>0</v>
      </c>
      <c r="N259" s="224">
        <v>268000</v>
      </c>
      <c r="O259" s="224">
        <v>268000</v>
      </c>
      <c r="P259" s="224">
        <v>0</v>
      </c>
      <c r="Q259" s="224">
        <v>0</v>
      </c>
      <c r="R259" s="224">
        <v>268000</v>
      </c>
      <c r="S259" s="224">
        <v>268000</v>
      </c>
      <c r="T259" s="225">
        <v>268000</v>
      </c>
      <c r="U259" s="225">
        <v>0</v>
      </c>
      <c r="V259" s="224">
        <v>0</v>
      </c>
      <c r="W259" s="224">
        <v>268000</v>
      </c>
      <c r="X259" s="225">
        <v>268000</v>
      </c>
      <c r="Y259" s="64">
        <v>0</v>
      </c>
      <c r="Z259" s="224">
        <v>268000</v>
      </c>
    </row>
    <row r="260" spans="1:26" ht="38.25" x14ac:dyDescent="0.2">
      <c r="A260" s="304"/>
      <c r="B260" s="362" t="s">
        <v>221</v>
      </c>
      <c r="C260" s="66" t="s">
        <v>1</v>
      </c>
      <c r="D260" s="70" t="s">
        <v>135</v>
      </c>
      <c r="E260" s="66" t="s">
        <v>135</v>
      </c>
      <c r="F260" s="66" t="s">
        <v>135</v>
      </c>
      <c r="G260" s="71" t="s">
        <v>219</v>
      </c>
      <c r="H260" s="67" t="s">
        <v>135</v>
      </c>
      <c r="I260" s="208"/>
      <c r="J260" s="118">
        <f t="shared" ref="J260:X260" si="119">J261+J269</f>
        <v>8180620</v>
      </c>
      <c r="K260" s="209">
        <f t="shared" si="119"/>
        <v>0</v>
      </c>
      <c r="L260" s="210">
        <f t="shared" si="119"/>
        <v>14101820</v>
      </c>
      <c r="M260" s="210">
        <f t="shared" si="119"/>
        <v>-454300</v>
      </c>
      <c r="N260" s="210">
        <f t="shared" si="119"/>
        <v>13647520</v>
      </c>
      <c r="O260" s="210">
        <f t="shared" si="119"/>
        <v>14534160</v>
      </c>
      <c r="P260" s="210">
        <f t="shared" si="119"/>
        <v>-429340</v>
      </c>
      <c r="Q260" s="210">
        <f>Q261+Q269</f>
        <v>0</v>
      </c>
      <c r="R260" s="210">
        <f>R261+R269</f>
        <v>13647520</v>
      </c>
      <c r="S260" s="210">
        <f t="shared" si="119"/>
        <v>14104820</v>
      </c>
      <c r="T260" s="211">
        <f t="shared" si="119"/>
        <v>15021720</v>
      </c>
      <c r="U260" s="211">
        <f t="shared" si="119"/>
        <v>-429340</v>
      </c>
      <c r="V260" s="210">
        <f>V261+V269</f>
        <v>0</v>
      </c>
      <c r="W260" s="210">
        <f>W261+W269</f>
        <v>14104820</v>
      </c>
      <c r="X260" s="211">
        <f t="shared" si="119"/>
        <v>14592380</v>
      </c>
      <c r="Y260" s="118">
        <f>Y261+Y269</f>
        <v>0</v>
      </c>
      <c r="Z260" s="210">
        <f>Z261+Z269</f>
        <v>14592380</v>
      </c>
    </row>
    <row r="261" spans="1:26" ht="25.5" x14ac:dyDescent="0.2">
      <c r="A261" s="304"/>
      <c r="B261" s="362" t="s">
        <v>21</v>
      </c>
      <c r="C261" s="66" t="s">
        <v>1</v>
      </c>
      <c r="D261" s="70" t="s">
        <v>135</v>
      </c>
      <c r="E261" s="66" t="s">
        <v>135</v>
      </c>
      <c r="F261" s="66" t="s">
        <v>135</v>
      </c>
      <c r="G261" s="71" t="s">
        <v>219</v>
      </c>
      <c r="H261" s="67" t="s">
        <v>135</v>
      </c>
      <c r="I261" s="208">
        <v>600</v>
      </c>
      <c r="J261" s="118">
        <f t="shared" ref="J261:X261" si="120">J262+J267+J268</f>
        <v>8089646</v>
      </c>
      <c r="K261" s="209">
        <f t="shared" si="120"/>
        <v>-0.08</v>
      </c>
      <c r="L261" s="210">
        <f t="shared" si="120"/>
        <v>13843872</v>
      </c>
      <c r="M261" s="210">
        <f t="shared" si="120"/>
        <v>-328602</v>
      </c>
      <c r="N261" s="210">
        <f t="shared" si="120"/>
        <v>13515270</v>
      </c>
      <c r="O261" s="210">
        <f t="shared" si="120"/>
        <v>14268303</v>
      </c>
      <c r="P261" s="210">
        <f t="shared" si="120"/>
        <v>-300166</v>
      </c>
      <c r="Q261" s="210">
        <f>Q262+Q267+Q268</f>
        <v>0</v>
      </c>
      <c r="R261" s="210">
        <f>R262+R267+R268</f>
        <v>13515270</v>
      </c>
      <c r="S261" s="210">
        <f t="shared" si="120"/>
        <v>13968137</v>
      </c>
      <c r="T261" s="211">
        <f t="shared" si="120"/>
        <v>14746947</v>
      </c>
      <c r="U261" s="211">
        <f t="shared" si="120"/>
        <v>-295970</v>
      </c>
      <c r="V261" s="210">
        <f>V262+V267+V268</f>
        <v>0</v>
      </c>
      <c r="W261" s="210">
        <f>W262+W267+W268</f>
        <v>13968137</v>
      </c>
      <c r="X261" s="211">
        <f t="shared" si="120"/>
        <v>14450977</v>
      </c>
      <c r="Y261" s="118">
        <f>Y262+Y267+Y268</f>
        <v>0</v>
      </c>
      <c r="Z261" s="210">
        <f>Z262+Z267+Z268</f>
        <v>14450977</v>
      </c>
    </row>
    <row r="262" spans="1:26" x14ac:dyDescent="0.2">
      <c r="A262" s="304"/>
      <c r="B262" s="362" t="s">
        <v>22</v>
      </c>
      <c r="C262" s="66" t="s">
        <v>1</v>
      </c>
      <c r="D262" s="70" t="s">
        <v>135</v>
      </c>
      <c r="E262" s="66" t="s">
        <v>135</v>
      </c>
      <c r="F262" s="66" t="s">
        <v>135</v>
      </c>
      <c r="G262" s="71" t="s">
        <v>219</v>
      </c>
      <c r="H262" s="67" t="s">
        <v>135</v>
      </c>
      <c r="I262" s="208" t="s">
        <v>23</v>
      </c>
      <c r="J262" s="64">
        <f>7815746+91300</f>
        <v>7907046</v>
      </c>
      <c r="K262" s="223">
        <v>-0.08</v>
      </c>
      <c r="L262" s="224">
        <f>257947+13070031</f>
        <v>13327978</v>
      </c>
      <c r="M262" s="224">
        <f>-125697+48489</f>
        <v>-77208</v>
      </c>
      <c r="N262" s="224">
        <f>M262+L262</f>
        <v>13250770</v>
      </c>
      <c r="O262" s="223">
        <f>265855+13470738</f>
        <v>13736593</v>
      </c>
      <c r="P262" s="224">
        <f>-129174+87356</f>
        <v>-41818</v>
      </c>
      <c r="Q262" s="224">
        <v>0</v>
      </c>
      <c r="R262" s="224">
        <v>13250770</v>
      </c>
      <c r="S262" s="224">
        <f>P262+O262</f>
        <v>13694775</v>
      </c>
      <c r="T262" s="224">
        <f>274774+13922625</f>
        <v>14197399</v>
      </c>
      <c r="U262" s="224">
        <f>-133367+104131</f>
        <v>-29236</v>
      </c>
      <c r="V262" s="224">
        <v>0</v>
      </c>
      <c r="W262" s="224">
        <v>13694775</v>
      </c>
      <c r="X262" s="224">
        <f>U262+T262</f>
        <v>14168163</v>
      </c>
      <c r="Y262" s="223">
        <v>0</v>
      </c>
      <c r="Z262" s="224">
        <v>14168163</v>
      </c>
    </row>
    <row r="263" spans="1:26" hidden="1" x14ac:dyDescent="0.2">
      <c r="A263" s="304"/>
      <c r="B263" s="362" t="s">
        <v>222</v>
      </c>
      <c r="C263" s="66" t="s">
        <v>1</v>
      </c>
      <c r="D263" s="70" t="s">
        <v>135</v>
      </c>
      <c r="E263" s="66" t="s">
        <v>135</v>
      </c>
      <c r="F263" s="66" t="s">
        <v>135</v>
      </c>
      <c r="G263" s="71" t="s">
        <v>219</v>
      </c>
      <c r="H263" s="67" t="s">
        <v>135</v>
      </c>
      <c r="I263" s="208" t="s">
        <v>220</v>
      </c>
      <c r="J263" s="64">
        <v>91300</v>
      </c>
      <c r="K263" s="223">
        <v>91300</v>
      </c>
      <c r="L263" s="224">
        <v>257947</v>
      </c>
      <c r="M263" s="224">
        <v>-125697</v>
      </c>
      <c r="N263" s="224">
        <f>M263+L263</f>
        <v>132250</v>
      </c>
      <c r="O263" s="223">
        <v>265855</v>
      </c>
      <c r="P263" s="224">
        <v>-129174</v>
      </c>
      <c r="Q263" s="224">
        <f>P263+O263</f>
        <v>136681</v>
      </c>
      <c r="R263" s="224">
        <f>Q263+P263</f>
        <v>7507</v>
      </c>
      <c r="S263" s="224">
        <f>P263+O263</f>
        <v>136681</v>
      </c>
      <c r="T263" s="224">
        <v>274774</v>
      </c>
      <c r="U263" s="224">
        <v>-133367</v>
      </c>
      <c r="V263" s="224">
        <f>S263+R263</f>
        <v>144188</v>
      </c>
      <c r="W263" s="224">
        <f>T263+S263</f>
        <v>411455</v>
      </c>
      <c r="X263" s="224">
        <f>U263+T263</f>
        <v>141407</v>
      </c>
      <c r="Y263" s="223">
        <f>V263+U263</f>
        <v>10821</v>
      </c>
      <c r="Z263" s="224">
        <f>W263+V263</f>
        <v>555643</v>
      </c>
    </row>
    <row r="264" spans="1:26" ht="38.25" hidden="1" x14ac:dyDescent="0.2">
      <c r="A264" s="304"/>
      <c r="B264" s="362" t="s">
        <v>209</v>
      </c>
      <c r="C264" s="66" t="s">
        <v>1</v>
      </c>
      <c r="D264" s="70" t="s">
        <v>135</v>
      </c>
      <c r="E264" s="66" t="s">
        <v>135</v>
      </c>
      <c r="F264" s="66" t="s">
        <v>135</v>
      </c>
      <c r="G264" s="71" t="s">
        <v>219</v>
      </c>
      <c r="H264" s="67" t="s">
        <v>135</v>
      </c>
      <c r="I264" s="208" t="s">
        <v>156</v>
      </c>
      <c r="J264" s="64">
        <v>91300</v>
      </c>
      <c r="K264" s="223">
        <v>91300</v>
      </c>
      <c r="L264" s="224">
        <v>257947</v>
      </c>
      <c r="M264" s="224">
        <v>-125697</v>
      </c>
      <c r="N264" s="224">
        <f>M264+L264</f>
        <v>132250</v>
      </c>
      <c r="O264" s="223">
        <v>265855</v>
      </c>
      <c r="P264" s="224">
        <v>-129174</v>
      </c>
      <c r="Q264" s="224">
        <f>P264+O264</f>
        <v>136681</v>
      </c>
      <c r="R264" s="224">
        <f>Q264+P264</f>
        <v>7507</v>
      </c>
      <c r="S264" s="224">
        <f>P264+O264</f>
        <v>136681</v>
      </c>
      <c r="T264" s="224">
        <v>274774</v>
      </c>
      <c r="U264" s="224">
        <v>-133367</v>
      </c>
      <c r="V264" s="224">
        <f>S264+R264</f>
        <v>144188</v>
      </c>
      <c r="W264" s="224">
        <f>T264+S264</f>
        <v>411455</v>
      </c>
      <c r="X264" s="224">
        <f>U264+T264</f>
        <v>141407</v>
      </c>
      <c r="Y264" s="223">
        <f>V264+U264</f>
        <v>10821</v>
      </c>
      <c r="Z264" s="224">
        <f>W264+V264</f>
        <v>555643</v>
      </c>
    </row>
    <row r="265" spans="1:26" hidden="1" x14ac:dyDescent="0.2">
      <c r="A265" s="304"/>
      <c r="B265" s="362" t="s">
        <v>62</v>
      </c>
      <c r="C265" s="66" t="s">
        <v>1</v>
      </c>
      <c r="D265" s="70" t="s">
        <v>135</v>
      </c>
      <c r="E265" s="66" t="s">
        <v>135</v>
      </c>
      <c r="F265" s="66" t="s">
        <v>135</v>
      </c>
      <c r="G265" s="71" t="s">
        <v>219</v>
      </c>
      <c r="H265" s="67" t="s">
        <v>135</v>
      </c>
      <c r="I265" s="208" t="s">
        <v>63</v>
      </c>
      <c r="J265" s="64">
        <f t="shared" ref="J265:Z265" si="121">J266</f>
        <v>90974</v>
      </c>
      <c r="K265" s="223">
        <f t="shared" si="121"/>
        <v>90974</v>
      </c>
      <c r="L265" s="224">
        <f t="shared" si="121"/>
        <v>257948</v>
      </c>
      <c r="M265" s="224">
        <f t="shared" si="121"/>
        <v>-125698</v>
      </c>
      <c r="N265" s="224">
        <f t="shared" si="121"/>
        <v>132250</v>
      </c>
      <c r="O265" s="223">
        <f t="shared" si="121"/>
        <v>265857</v>
      </c>
      <c r="P265" s="224">
        <f t="shared" si="121"/>
        <v>-129174</v>
      </c>
      <c r="Q265" s="224">
        <f t="shared" si="121"/>
        <v>136683</v>
      </c>
      <c r="R265" s="224">
        <f t="shared" si="121"/>
        <v>7509</v>
      </c>
      <c r="S265" s="224">
        <f t="shared" si="121"/>
        <v>136683</v>
      </c>
      <c r="T265" s="224">
        <f t="shared" si="121"/>
        <v>274773</v>
      </c>
      <c r="U265" s="224">
        <f t="shared" si="121"/>
        <v>-133370</v>
      </c>
      <c r="V265" s="224">
        <f t="shared" si="121"/>
        <v>144192</v>
      </c>
      <c r="W265" s="224">
        <f t="shared" si="121"/>
        <v>411456</v>
      </c>
      <c r="X265" s="224">
        <f t="shared" si="121"/>
        <v>141403</v>
      </c>
      <c r="Y265" s="223">
        <f t="shared" si="121"/>
        <v>10822</v>
      </c>
      <c r="Z265" s="224">
        <f t="shared" si="121"/>
        <v>555648</v>
      </c>
    </row>
    <row r="266" spans="1:26" ht="38.25" hidden="1" x14ac:dyDescent="0.2">
      <c r="A266" s="304"/>
      <c r="B266" s="362" t="s">
        <v>168</v>
      </c>
      <c r="C266" s="66" t="s">
        <v>1</v>
      </c>
      <c r="D266" s="70" t="s">
        <v>135</v>
      </c>
      <c r="E266" s="66" t="s">
        <v>135</v>
      </c>
      <c r="F266" s="66" t="s">
        <v>135</v>
      </c>
      <c r="G266" s="71" t="s">
        <v>219</v>
      </c>
      <c r="H266" s="67" t="s">
        <v>135</v>
      </c>
      <c r="I266" s="208" t="s">
        <v>140</v>
      </c>
      <c r="J266" s="64">
        <v>90974</v>
      </c>
      <c r="K266" s="223">
        <v>90974</v>
      </c>
      <c r="L266" s="224">
        <v>257948</v>
      </c>
      <c r="M266" s="224">
        <v>-125698</v>
      </c>
      <c r="N266" s="224">
        <f>M266+L266</f>
        <v>132250</v>
      </c>
      <c r="O266" s="223">
        <v>265857</v>
      </c>
      <c r="P266" s="224">
        <v>-129174</v>
      </c>
      <c r="Q266" s="224">
        <f>P266+O266</f>
        <v>136683</v>
      </c>
      <c r="R266" s="224">
        <f>Q266+P266</f>
        <v>7509</v>
      </c>
      <c r="S266" s="224">
        <f>P266+O266</f>
        <v>136683</v>
      </c>
      <c r="T266" s="224">
        <v>274773</v>
      </c>
      <c r="U266" s="224">
        <v>-133370</v>
      </c>
      <c r="V266" s="224">
        <f>S266+R266</f>
        <v>144192</v>
      </c>
      <c r="W266" s="224">
        <f>T266+S266</f>
        <v>411456</v>
      </c>
      <c r="X266" s="224">
        <f>U266+T266</f>
        <v>141403</v>
      </c>
      <c r="Y266" s="223">
        <f>V266+U266</f>
        <v>10822</v>
      </c>
      <c r="Z266" s="224">
        <f>W266+V266</f>
        <v>555648</v>
      </c>
    </row>
    <row r="267" spans="1:26" ht="21.75" customHeight="1" x14ac:dyDescent="0.2">
      <c r="A267" s="304"/>
      <c r="B267" s="362" t="s">
        <v>231</v>
      </c>
      <c r="C267" s="66" t="s">
        <v>1</v>
      </c>
      <c r="D267" s="70" t="s">
        <v>135</v>
      </c>
      <c r="E267" s="66" t="s">
        <v>135</v>
      </c>
      <c r="F267" s="66" t="s">
        <v>135</v>
      </c>
      <c r="G267" s="71" t="s">
        <v>219</v>
      </c>
      <c r="H267" s="67" t="s">
        <v>135</v>
      </c>
      <c r="I267" s="208" t="s">
        <v>220</v>
      </c>
      <c r="J267" s="64">
        <v>91300</v>
      </c>
      <c r="K267" s="223">
        <v>0</v>
      </c>
      <c r="L267" s="224">
        <v>257947</v>
      </c>
      <c r="M267" s="224">
        <v>-125697</v>
      </c>
      <c r="N267" s="224">
        <f>M267+L267</f>
        <v>132250</v>
      </c>
      <c r="O267" s="223">
        <v>265855</v>
      </c>
      <c r="P267" s="224">
        <v>-129174</v>
      </c>
      <c r="Q267" s="224">
        <v>0</v>
      </c>
      <c r="R267" s="224">
        <v>132250</v>
      </c>
      <c r="S267" s="224">
        <f>P267+O267</f>
        <v>136681</v>
      </c>
      <c r="T267" s="224">
        <v>274774</v>
      </c>
      <c r="U267" s="224">
        <v>-133367</v>
      </c>
      <c r="V267" s="224">
        <v>0</v>
      </c>
      <c r="W267" s="224">
        <v>136681</v>
      </c>
      <c r="X267" s="224">
        <f>U267+T267</f>
        <v>141407</v>
      </c>
      <c r="Y267" s="223">
        <v>0</v>
      </c>
      <c r="Z267" s="224">
        <v>141407</v>
      </c>
    </row>
    <row r="268" spans="1:26" ht="38.25" x14ac:dyDescent="0.2">
      <c r="A268" s="304"/>
      <c r="B268" s="362" t="s">
        <v>209</v>
      </c>
      <c r="C268" s="66" t="s">
        <v>1</v>
      </c>
      <c r="D268" s="70" t="s">
        <v>135</v>
      </c>
      <c r="E268" s="66" t="s">
        <v>135</v>
      </c>
      <c r="F268" s="66" t="s">
        <v>135</v>
      </c>
      <c r="G268" s="71" t="s">
        <v>219</v>
      </c>
      <c r="H268" s="67" t="s">
        <v>135</v>
      </c>
      <c r="I268" s="208" t="s">
        <v>156</v>
      </c>
      <c r="J268" s="64">
        <v>91300</v>
      </c>
      <c r="K268" s="223">
        <v>0</v>
      </c>
      <c r="L268" s="224">
        <v>257947</v>
      </c>
      <c r="M268" s="224">
        <v>-125697</v>
      </c>
      <c r="N268" s="224">
        <f>M268+L268</f>
        <v>132250</v>
      </c>
      <c r="O268" s="223">
        <v>265855</v>
      </c>
      <c r="P268" s="224">
        <v>-129174</v>
      </c>
      <c r="Q268" s="224">
        <v>0</v>
      </c>
      <c r="R268" s="224">
        <v>132250</v>
      </c>
      <c r="S268" s="224">
        <f>P268+O268</f>
        <v>136681</v>
      </c>
      <c r="T268" s="224">
        <v>274774</v>
      </c>
      <c r="U268" s="224">
        <v>-133367</v>
      </c>
      <c r="V268" s="224">
        <v>0</v>
      </c>
      <c r="W268" s="224">
        <v>136681</v>
      </c>
      <c r="X268" s="224">
        <f>U268+T268</f>
        <v>141407</v>
      </c>
      <c r="Y268" s="223">
        <v>0</v>
      </c>
      <c r="Z268" s="224">
        <v>141407</v>
      </c>
    </row>
    <row r="269" spans="1:26" x14ac:dyDescent="0.2">
      <c r="A269" s="304"/>
      <c r="B269" s="362" t="s">
        <v>62</v>
      </c>
      <c r="C269" s="66" t="s">
        <v>1</v>
      </c>
      <c r="D269" s="70" t="s">
        <v>135</v>
      </c>
      <c r="E269" s="66" t="s">
        <v>135</v>
      </c>
      <c r="F269" s="66" t="s">
        <v>135</v>
      </c>
      <c r="G269" s="71" t="s">
        <v>219</v>
      </c>
      <c r="H269" s="67" t="s">
        <v>135</v>
      </c>
      <c r="I269" s="208" t="s">
        <v>63</v>
      </c>
      <c r="J269" s="64">
        <f t="shared" ref="J269:Z269" si="122">J270</f>
        <v>90974</v>
      </c>
      <c r="K269" s="223">
        <f t="shared" si="122"/>
        <v>0.08</v>
      </c>
      <c r="L269" s="224">
        <f t="shared" si="122"/>
        <v>257948</v>
      </c>
      <c r="M269" s="224">
        <f t="shared" si="122"/>
        <v>-125698</v>
      </c>
      <c r="N269" s="224">
        <f t="shared" si="122"/>
        <v>132250</v>
      </c>
      <c r="O269" s="223">
        <f t="shared" si="122"/>
        <v>265857</v>
      </c>
      <c r="P269" s="224">
        <f t="shared" si="122"/>
        <v>-129174</v>
      </c>
      <c r="Q269" s="224">
        <f t="shared" si="122"/>
        <v>0</v>
      </c>
      <c r="R269" s="224">
        <f t="shared" si="122"/>
        <v>132250</v>
      </c>
      <c r="S269" s="224">
        <f t="shared" si="122"/>
        <v>136683</v>
      </c>
      <c r="T269" s="224">
        <f t="shared" si="122"/>
        <v>274773</v>
      </c>
      <c r="U269" s="224">
        <f t="shared" si="122"/>
        <v>-133370</v>
      </c>
      <c r="V269" s="224">
        <f t="shared" si="122"/>
        <v>0</v>
      </c>
      <c r="W269" s="224">
        <f t="shared" si="122"/>
        <v>136683</v>
      </c>
      <c r="X269" s="224">
        <f t="shared" si="122"/>
        <v>141403</v>
      </c>
      <c r="Y269" s="223">
        <f t="shared" si="122"/>
        <v>0</v>
      </c>
      <c r="Z269" s="224">
        <f t="shared" si="122"/>
        <v>141403</v>
      </c>
    </row>
    <row r="270" spans="1:26" ht="38.25" x14ac:dyDescent="0.2">
      <c r="A270" s="304"/>
      <c r="B270" s="362" t="s">
        <v>168</v>
      </c>
      <c r="C270" s="66" t="s">
        <v>1</v>
      </c>
      <c r="D270" s="70" t="s">
        <v>135</v>
      </c>
      <c r="E270" s="66" t="s">
        <v>135</v>
      </c>
      <c r="F270" s="66" t="s">
        <v>135</v>
      </c>
      <c r="G270" s="71" t="s">
        <v>219</v>
      </c>
      <c r="H270" s="66" t="s">
        <v>135</v>
      </c>
      <c r="I270" s="208" t="s">
        <v>140</v>
      </c>
      <c r="J270" s="64">
        <v>90974</v>
      </c>
      <c r="K270" s="223">
        <v>0.08</v>
      </c>
      <c r="L270" s="224">
        <v>257948</v>
      </c>
      <c r="M270" s="224">
        <v>-125698</v>
      </c>
      <c r="N270" s="224">
        <f>M270+L270</f>
        <v>132250</v>
      </c>
      <c r="O270" s="223">
        <v>265857</v>
      </c>
      <c r="P270" s="224">
        <v>-129174</v>
      </c>
      <c r="Q270" s="224">
        <v>0</v>
      </c>
      <c r="R270" s="224">
        <v>132250</v>
      </c>
      <c r="S270" s="225">
        <f>P270+O270</f>
        <v>136683</v>
      </c>
      <c r="T270" s="224">
        <v>274773</v>
      </c>
      <c r="U270" s="224">
        <v>-133370</v>
      </c>
      <c r="V270" s="224">
        <v>0</v>
      </c>
      <c r="W270" s="224">
        <v>136683</v>
      </c>
      <c r="X270" s="224">
        <f>U270+T270</f>
        <v>141403</v>
      </c>
      <c r="Y270" s="223">
        <v>0</v>
      </c>
      <c r="Z270" s="224">
        <v>141403</v>
      </c>
    </row>
    <row r="271" spans="1:26" ht="25.5" customHeight="1" x14ac:dyDescent="0.2">
      <c r="A271" s="304"/>
      <c r="B271" s="508" t="s">
        <v>423</v>
      </c>
      <c r="C271" s="77" t="s">
        <v>1</v>
      </c>
      <c r="D271" s="82" t="s">
        <v>135</v>
      </c>
      <c r="E271" s="66" t="s">
        <v>135</v>
      </c>
      <c r="F271" s="66" t="s">
        <v>135</v>
      </c>
      <c r="G271" s="71" t="s">
        <v>424</v>
      </c>
      <c r="H271" s="67" t="s">
        <v>135</v>
      </c>
      <c r="I271" s="208"/>
      <c r="J271" s="68"/>
      <c r="K271" s="69"/>
      <c r="L271" s="68"/>
      <c r="M271" s="68"/>
      <c r="N271" s="216">
        <f t="shared" ref="N271:Z272" si="123">N272</f>
        <v>1181720.43</v>
      </c>
      <c r="O271" s="498">
        <f t="shared" si="123"/>
        <v>0</v>
      </c>
      <c r="P271" s="69">
        <f t="shared" si="123"/>
        <v>0</v>
      </c>
      <c r="Q271" s="215">
        <f t="shared" si="123"/>
        <v>20284946.370000001</v>
      </c>
      <c r="R271" s="216">
        <f t="shared" si="123"/>
        <v>21466666.800000001</v>
      </c>
      <c r="S271" s="217">
        <f t="shared" si="123"/>
        <v>0</v>
      </c>
      <c r="T271" s="498">
        <f t="shared" si="123"/>
        <v>0</v>
      </c>
      <c r="U271" s="215"/>
      <c r="V271" s="216">
        <f t="shared" si="123"/>
        <v>0</v>
      </c>
      <c r="W271" s="216">
        <f t="shared" si="123"/>
        <v>0</v>
      </c>
      <c r="X271" s="216">
        <f t="shared" si="123"/>
        <v>0</v>
      </c>
      <c r="Y271" s="215">
        <f t="shared" si="123"/>
        <v>0</v>
      </c>
      <c r="Z271" s="216">
        <f t="shared" si="123"/>
        <v>0</v>
      </c>
    </row>
    <row r="272" spans="1:26" ht="33" customHeight="1" x14ac:dyDescent="0.2">
      <c r="A272" s="304"/>
      <c r="B272" s="34" t="s">
        <v>21</v>
      </c>
      <c r="C272" s="77" t="s">
        <v>1</v>
      </c>
      <c r="D272" s="82" t="s">
        <v>135</v>
      </c>
      <c r="E272" s="66" t="s">
        <v>135</v>
      </c>
      <c r="F272" s="66" t="s">
        <v>135</v>
      </c>
      <c r="G272" s="71" t="s">
        <v>424</v>
      </c>
      <c r="H272" s="67" t="s">
        <v>135</v>
      </c>
      <c r="I272" s="208" t="s">
        <v>149</v>
      </c>
      <c r="J272" s="68"/>
      <c r="K272" s="69"/>
      <c r="L272" s="68"/>
      <c r="M272" s="68"/>
      <c r="N272" s="216">
        <f t="shared" si="123"/>
        <v>1181720.43</v>
      </c>
      <c r="O272" s="498">
        <f t="shared" si="123"/>
        <v>0</v>
      </c>
      <c r="P272" s="69">
        <f t="shared" si="123"/>
        <v>0</v>
      </c>
      <c r="Q272" s="215">
        <f t="shared" si="123"/>
        <v>20284946.370000001</v>
      </c>
      <c r="R272" s="216">
        <f t="shared" si="123"/>
        <v>21466666.800000001</v>
      </c>
      <c r="S272" s="217">
        <f t="shared" si="123"/>
        <v>0</v>
      </c>
      <c r="T272" s="498">
        <f t="shared" si="123"/>
        <v>0</v>
      </c>
      <c r="U272" s="215"/>
      <c r="V272" s="216">
        <f t="shared" si="123"/>
        <v>0</v>
      </c>
      <c r="W272" s="216">
        <f t="shared" si="123"/>
        <v>0</v>
      </c>
      <c r="X272" s="216">
        <f t="shared" si="123"/>
        <v>0</v>
      </c>
      <c r="Y272" s="215">
        <f t="shared" si="123"/>
        <v>0</v>
      </c>
      <c r="Z272" s="216">
        <f t="shared" si="123"/>
        <v>0</v>
      </c>
    </row>
    <row r="273" spans="1:26" x14ac:dyDescent="0.2">
      <c r="A273" s="304"/>
      <c r="B273" s="509" t="s">
        <v>22</v>
      </c>
      <c r="C273" s="77" t="s">
        <v>1</v>
      </c>
      <c r="D273" s="82" t="s">
        <v>135</v>
      </c>
      <c r="E273" s="66" t="s">
        <v>135</v>
      </c>
      <c r="F273" s="66" t="s">
        <v>135</v>
      </c>
      <c r="G273" s="71" t="s">
        <v>424</v>
      </c>
      <c r="H273" s="67" t="s">
        <v>135</v>
      </c>
      <c r="I273" s="208" t="s">
        <v>23</v>
      </c>
      <c r="J273" s="68"/>
      <c r="K273" s="69"/>
      <c r="L273" s="68"/>
      <c r="M273" s="68"/>
      <c r="N273" s="216">
        <v>1181720.43</v>
      </c>
      <c r="O273" s="498">
        <v>0</v>
      </c>
      <c r="P273" s="69">
        <v>0</v>
      </c>
      <c r="Q273" s="215">
        <f>-1181720.43+1029000+20437666.8</f>
        <v>20284946.370000001</v>
      </c>
      <c r="R273" s="216">
        <f>Q273+N273</f>
        <v>21466666.800000001</v>
      </c>
      <c r="S273" s="217">
        <v>0</v>
      </c>
      <c r="T273" s="498">
        <v>0</v>
      </c>
      <c r="U273" s="215"/>
      <c r="V273" s="216">
        <v>0</v>
      </c>
      <c r="W273" s="216">
        <v>0</v>
      </c>
      <c r="X273" s="216">
        <v>0</v>
      </c>
      <c r="Y273" s="215">
        <v>0</v>
      </c>
      <c r="Z273" s="216">
        <v>0</v>
      </c>
    </row>
    <row r="274" spans="1:26" ht="76.5" x14ac:dyDescent="0.2">
      <c r="A274" s="304"/>
      <c r="B274" s="362" t="s">
        <v>292</v>
      </c>
      <c r="C274" s="72" t="s">
        <v>1</v>
      </c>
      <c r="D274" s="72" t="s">
        <v>135</v>
      </c>
      <c r="E274" s="72" t="s">
        <v>135</v>
      </c>
      <c r="F274" s="72" t="s">
        <v>135</v>
      </c>
      <c r="G274" s="72" t="s">
        <v>291</v>
      </c>
      <c r="H274" s="67" t="s">
        <v>135</v>
      </c>
      <c r="I274" s="214"/>
      <c r="J274" s="118" t="e">
        <f>#REF!+J275</f>
        <v>#REF!</v>
      </c>
      <c r="K274" s="209" t="e">
        <f>#REF!+K275</f>
        <v>#REF!</v>
      </c>
      <c r="L274" s="210">
        <f t="shared" ref="L274:Z275" si="124">L275</f>
        <v>2877031.5</v>
      </c>
      <c r="M274" s="210">
        <f t="shared" si="124"/>
        <v>0</v>
      </c>
      <c r="N274" s="210">
        <f t="shared" si="124"/>
        <v>2877031.5</v>
      </c>
      <c r="O274" s="210">
        <f t="shared" si="124"/>
        <v>2992119.81</v>
      </c>
      <c r="P274" s="210">
        <f t="shared" si="124"/>
        <v>0</v>
      </c>
      <c r="Q274" s="210">
        <f t="shared" si="124"/>
        <v>0</v>
      </c>
      <c r="R274" s="210">
        <f t="shared" si="124"/>
        <v>2877031.5</v>
      </c>
      <c r="S274" s="211">
        <f t="shared" si="124"/>
        <v>2992119.81</v>
      </c>
      <c r="T274" s="210">
        <f t="shared" si="124"/>
        <v>3111762.52</v>
      </c>
      <c r="U274" s="210">
        <f t="shared" si="124"/>
        <v>0</v>
      </c>
      <c r="V274" s="210">
        <f t="shared" si="124"/>
        <v>0</v>
      </c>
      <c r="W274" s="210">
        <f t="shared" si="124"/>
        <v>2992119.81</v>
      </c>
      <c r="X274" s="210">
        <f t="shared" si="124"/>
        <v>3111762.52</v>
      </c>
      <c r="Y274" s="209">
        <f t="shared" si="124"/>
        <v>0</v>
      </c>
      <c r="Z274" s="210">
        <f t="shared" si="124"/>
        <v>3111762.52</v>
      </c>
    </row>
    <row r="275" spans="1:26" ht="25.5" x14ac:dyDescent="0.2">
      <c r="A275" s="304"/>
      <c r="B275" s="362" t="s">
        <v>21</v>
      </c>
      <c r="C275" s="72" t="s">
        <v>1</v>
      </c>
      <c r="D275" s="73" t="s">
        <v>135</v>
      </c>
      <c r="E275" s="72" t="s">
        <v>135</v>
      </c>
      <c r="F275" s="72" t="s">
        <v>135</v>
      </c>
      <c r="G275" s="72" t="s">
        <v>291</v>
      </c>
      <c r="H275" s="67" t="s">
        <v>135</v>
      </c>
      <c r="I275" s="208">
        <v>600</v>
      </c>
      <c r="J275" s="118">
        <f>J276</f>
        <v>3544237.58</v>
      </c>
      <c r="K275" s="209">
        <f>K276</f>
        <v>0</v>
      </c>
      <c r="L275" s="210">
        <f t="shared" si="124"/>
        <v>2877031.5</v>
      </c>
      <c r="M275" s="210">
        <f t="shared" si="124"/>
        <v>0</v>
      </c>
      <c r="N275" s="210">
        <f t="shared" si="124"/>
        <v>2877031.5</v>
      </c>
      <c r="O275" s="210">
        <f t="shared" si="124"/>
        <v>2992119.81</v>
      </c>
      <c r="P275" s="210">
        <f t="shared" si="124"/>
        <v>0</v>
      </c>
      <c r="Q275" s="210">
        <f t="shared" si="124"/>
        <v>0</v>
      </c>
      <c r="R275" s="210">
        <f t="shared" si="124"/>
        <v>2877031.5</v>
      </c>
      <c r="S275" s="210">
        <f t="shared" si="124"/>
        <v>2992119.81</v>
      </c>
      <c r="T275" s="211">
        <f t="shared" si="124"/>
        <v>3111762.52</v>
      </c>
      <c r="U275" s="211">
        <f t="shared" si="124"/>
        <v>0</v>
      </c>
      <c r="V275" s="210">
        <f t="shared" si="124"/>
        <v>0</v>
      </c>
      <c r="W275" s="210">
        <f t="shared" si="124"/>
        <v>2992119.81</v>
      </c>
      <c r="X275" s="211">
        <f t="shared" si="124"/>
        <v>3111762.52</v>
      </c>
      <c r="Y275" s="118">
        <f t="shared" si="124"/>
        <v>0</v>
      </c>
      <c r="Z275" s="210">
        <f t="shared" si="124"/>
        <v>3111762.52</v>
      </c>
    </row>
    <row r="276" spans="1:26" x14ac:dyDescent="0.2">
      <c r="A276" s="304"/>
      <c r="B276" s="362" t="s">
        <v>22</v>
      </c>
      <c r="C276" s="72" t="s">
        <v>1</v>
      </c>
      <c r="D276" s="73" t="s">
        <v>135</v>
      </c>
      <c r="E276" s="72" t="s">
        <v>135</v>
      </c>
      <c r="F276" s="72" t="s">
        <v>135</v>
      </c>
      <c r="G276" s="72" t="s">
        <v>291</v>
      </c>
      <c r="H276" s="67" t="s">
        <v>135</v>
      </c>
      <c r="I276" s="208" t="s">
        <v>23</v>
      </c>
      <c r="J276" s="118">
        <v>3544237.58</v>
      </c>
      <c r="K276" s="209">
        <v>0</v>
      </c>
      <c r="L276" s="216">
        <v>2877031.5</v>
      </c>
      <c r="M276" s="216">
        <v>0</v>
      </c>
      <c r="N276" s="216">
        <v>2877031.5</v>
      </c>
      <c r="O276" s="216">
        <v>2992119.81</v>
      </c>
      <c r="P276" s="216">
        <v>0</v>
      </c>
      <c r="Q276" s="216">
        <v>0</v>
      </c>
      <c r="R276" s="216">
        <v>2877031.5</v>
      </c>
      <c r="S276" s="216">
        <v>2992119.81</v>
      </c>
      <c r="T276" s="217">
        <v>3111762.52</v>
      </c>
      <c r="U276" s="217">
        <v>0</v>
      </c>
      <c r="V276" s="216">
        <v>0</v>
      </c>
      <c r="W276" s="216">
        <v>2992119.81</v>
      </c>
      <c r="X276" s="217">
        <v>3111762.52</v>
      </c>
      <c r="Y276" s="68">
        <v>0</v>
      </c>
      <c r="Z276" s="216">
        <v>3111762.52</v>
      </c>
    </row>
    <row r="277" spans="1:26" ht="89.25" x14ac:dyDescent="0.2">
      <c r="A277" s="304"/>
      <c r="B277" s="363" t="s">
        <v>276</v>
      </c>
      <c r="C277" s="66" t="s">
        <v>1</v>
      </c>
      <c r="D277" s="70" t="s">
        <v>135</v>
      </c>
      <c r="E277" s="66" t="s">
        <v>135</v>
      </c>
      <c r="F277" s="66" t="s">
        <v>135</v>
      </c>
      <c r="G277" s="71" t="s">
        <v>277</v>
      </c>
      <c r="H277" s="67" t="s">
        <v>135</v>
      </c>
      <c r="I277" s="208"/>
      <c r="J277" s="118">
        <f t="shared" ref="J277:Y278" si="125">J278</f>
        <v>43549218</v>
      </c>
      <c r="K277" s="209">
        <f t="shared" si="125"/>
        <v>0</v>
      </c>
      <c r="L277" s="210">
        <f t="shared" si="125"/>
        <v>44897048.43</v>
      </c>
      <c r="M277" s="210">
        <f t="shared" si="125"/>
        <v>0</v>
      </c>
      <c r="N277" s="210">
        <f t="shared" si="125"/>
        <v>44897048.43</v>
      </c>
      <c r="O277" s="210">
        <f t="shared" si="125"/>
        <v>47348927.770000003</v>
      </c>
      <c r="P277" s="210">
        <f t="shared" si="125"/>
        <v>0</v>
      </c>
      <c r="Q277" s="210">
        <f t="shared" si="125"/>
        <v>0</v>
      </c>
      <c r="R277" s="210">
        <f t="shared" si="125"/>
        <v>44897048.43</v>
      </c>
      <c r="S277" s="210">
        <f t="shared" si="125"/>
        <v>47348927.770000003</v>
      </c>
      <c r="T277" s="211">
        <f t="shared" si="125"/>
        <v>47348906.43</v>
      </c>
      <c r="U277" s="211">
        <f t="shared" si="125"/>
        <v>0</v>
      </c>
      <c r="V277" s="210">
        <f t="shared" si="125"/>
        <v>0</v>
      </c>
      <c r="W277" s="210">
        <f t="shared" si="125"/>
        <v>47348927.770000003</v>
      </c>
      <c r="X277" s="211">
        <f t="shared" si="125"/>
        <v>47348906.43</v>
      </c>
      <c r="Y277" s="118">
        <f t="shared" si="125"/>
        <v>0</v>
      </c>
      <c r="Z277" s="210">
        <f>Z278</f>
        <v>47348906.43</v>
      </c>
    </row>
    <row r="278" spans="1:26" ht="25.5" x14ac:dyDescent="0.2">
      <c r="A278" s="304"/>
      <c r="B278" s="362" t="s">
        <v>21</v>
      </c>
      <c r="C278" s="66" t="s">
        <v>1</v>
      </c>
      <c r="D278" s="70" t="s">
        <v>135</v>
      </c>
      <c r="E278" s="66" t="s">
        <v>135</v>
      </c>
      <c r="F278" s="66" t="s">
        <v>135</v>
      </c>
      <c r="G278" s="71" t="s">
        <v>277</v>
      </c>
      <c r="H278" s="67" t="s">
        <v>135</v>
      </c>
      <c r="I278" s="208" t="s">
        <v>149</v>
      </c>
      <c r="J278" s="118">
        <f t="shared" si="125"/>
        <v>43549218</v>
      </c>
      <c r="K278" s="209">
        <f t="shared" si="125"/>
        <v>0</v>
      </c>
      <c r="L278" s="210">
        <f t="shared" si="125"/>
        <v>44897048.43</v>
      </c>
      <c r="M278" s="210">
        <f t="shared" si="125"/>
        <v>0</v>
      </c>
      <c r="N278" s="210">
        <f t="shared" si="125"/>
        <v>44897048.43</v>
      </c>
      <c r="O278" s="210">
        <f t="shared" si="125"/>
        <v>47348927.770000003</v>
      </c>
      <c r="P278" s="210">
        <f t="shared" si="125"/>
        <v>0</v>
      </c>
      <c r="Q278" s="210">
        <f t="shared" si="125"/>
        <v>0</v>
      </c>
      <c r="R278" s="210">
        <f t="shared" si="125"/>
        <v>44897048.43</v>
      </c>
      <c r="S278" s="210">
        <f t="shared" si="125"/>
        <v>47348927.770000003</v>
      </c>
      <c r="T278" s="211">
        <f t="shared" si="125"/>
        <v>47348906.43</v>
      </c>
      <c r="U278" s="211">
        <f t="shared" si="125"/>
        <v>0</v>
      </c>
      <c r="V278" s="210">
        <f t="shared" si="125"/>
        <v>0</v>
      </c>
      <c r="W278" s="210">
        <f t="shared" si="125"/>
        <v>47348927.770000003</v>
      </c>
      <c r="X278" s="211">
        <f t="shared" si="125"/>
        <v>47348906.43</v>
      </c>
      <c r="Y278" s="118">
        <f>Y279</f>
        <v>0</v>
      </c>
      <c r="Z278" s="210">
        <f>Z279</f>
        <v>47348906.43</v>
      </c>
    </row>
    <row r="279" spans="1:26" x14ac:dyDescent="0.2">
      <c r="A279" s="304"/>
      <c r="B279" s="362" t="s">
        <v>22</v>
      </c>
      <c r="C279" s="66" t="s">
        <v>1</v>
      </c>
      <c r="D279" s="70" t="s">
        <v>135</v>
      </c>
      <c r="E279" s="66" t="s">
        <v>135</v>
      </c>
      <c r="F279" s="66" t="s">
        <v>135</v>
      </c>
      <c r="G279" s="71" t="s">
        <v>277</v>
      </c>
      <c r="H279" s="67" t="s">
        <v>135</v>
      </c>
      <c r="I279" s="208" t="s">
        <v>23</v>
      </c>
      <c r="J279" s="118">
        <f>44149218-600000</f>
        <v>43549218</v>
      </c>
      <c r="K279" s="209">
        <v>0</v>
      </c>
      <c r="L279" s="216">
        <f>45697048.43-800000</f>
        <v>44897048.43</v>
      </c>
      <c r="M279" s="216">
        <v>0</v>
      </c>
      <c r="N279" s="216">
        <f>45697048.43-800000</f>
        <v>44897048.43</v>
      </c>
      <c r="O279" s="216">
        <f>48148927.77-800000</f>
        <v>47348927.770000003</v>
      </c>
      <c r="P279" s="216">
        <v>0</v>
      </c>
      <c r="Q279" s="216">
        <v>0</v>
      </c>
      <c r="R279" s="216">
        <f>45697048.43-800000</f>
        <v>44897048.43</v>
      </c>
      <c r="S279" s="216">
        <f>48148927.77-800000</f>
        <v>47348927.770000003</v>
      </c>
      <c r="T279" s="217">
        <f>48148906.43-800000</f>
        <v>47348906.43</v>
      </c>
      <c r="U279" s="217">
        <v>0</v>
      </c>
      <c r="V279" s="216">
        <v>0</v>
      </c>
      <c r="W279" s="216">
        <f>48148927.77-800000</f>
        <v>47348927.770000003</v>
      </c>
      <c r="X279" s="217">
        <f>48148906.43-800000</f>
        <v>47348906.43</v>
      </c>
      <c r="Y279" s="68">
        <v>0</v>
      </c>
      <c r="Z279" s="216">
        <f>48148906.43-800000</f>
        <v>47348906.43</v>
      </c>
    </row>
    <row r="280" spans="1:26" ht="38.25" x14ac:dyDescent="0.2">
      <c r="A280" s="304"/>
      <c r="B280" s="362" t="s">
        <v>280</v>
      </c>
      <c r="C280" s="72" t="s">
        <v>1</v>
      </c>
      <c r="D280" s="73" t="s">
        <v>135</v>
      </c>
      <c r="E280" s="72" t="s">
        <v>135</v>
      </c>
      <c r="F280" s="72" t="s">
        <v>135</v>
      </c>
      <c r="G280" s="74" t="s">
        <v>279</v>
      </c>
      <c r="H280" s="67" t="s">
        <v>135</v>
      </c>
      <c r="I280" s="208"/>
      <c r="J280" s="118">
        <f t="shared" ref="J280:Y281" si="126">J281</f>
        <v>526443500</v>
      </c>
      <c r="K280" s="209">
        <f t="shared" si="126"/>
        <v>0</v>
      </c>
      <c r="L280" s="210">
        <f t="shared" si="126"/>
        <v>680271700</v>
      </c>
      <c r="M280" s="210">
        <f t="shared" si="126"/>
        <v>0</v>
      </c>
      <c r="N280" s="210">
        <f t="shared" si="126"/>
        <v>680271700</v>
      </c>
      <c r="O280" s="210">
        <f t="shared" si="126"/>
        <v>717602300</v>
      </c>
      <c r="P280" s="210">
        <f t="shared" si="126"/>
        <v>0</v>
      </c>
      <c r="Q280" s="210">
        <f t="shared" si="126"/>
        <v>6095000</v>
      </c>
      <c r="R280" s="210">
        <f t="shared" si="126"/>
        <v>686366700</v>
      </c>
      <c r="S280" s="210">
        <f t="shared" si="126"/>
        <v>717602300</v>
      </c>
      <c r="T280" s="211">
        <f t="shared" si="126"/>
        <v>740052800</v>
      </c>
      <c r="U280" s="211">
        <f t="shared" si="126"/>
        <v>0</v>
      </c>
      <c r="V280" s="210">
        <f t="shared" si="126"/>
        <v>0</v>
      </c>
      <c r="W280" s="210">
        <f t="shared" si="126"/>
        <v>717602300</v>
      </c>
      <c r="X280" s="211">
        <f t="shared" si="126"/>
        <v>740052800</v>
      </c>
      <c r="Y280" s="118">
        <f t="shared" si="126"/>
        <v>0</v>
      </c>
      <c r="Z280" s="210">
        <f>Z281</f>
        <v>740052800</v>
      </c>
    </row>
    <row r="281" spans="1:26" ht="25.5" x14ac:dyDescent="0.2">
      <c r="A281" s="304"/>
      <c r="B281" s="362" t="s">
        <v>21</v>
      </c>
      <c r="C281" s="72" t="s">
        <v>1</v>
      </c>
      <c r="D281" s="73" t="s">
        <v>135</v>
      </c>
      <c r="E281" s="72" t="s">
        <v>135</v>
      </c>
      <c r="F281" s="72" t="s">
        <v>135</v>
      </c>
      <c r="G281" s="74" t="s">
        <v>279</v>
      </c>
      <c r="H281" s="67" t="s">
        <v>135</v>
      </c>
      <c r="I281" s="208">
        <v>600</v>
      </c>
      <c r="J281" s="118">
        <f t="shared" si="126"/>
        <v>526443500</v>
      </c>
      <c r="K281" s="209">
        <f t="shared" si="126"/>
        <v>0</v>
      </c>
      <c r="L281" s="210">
        <f t="shared" si="126"/>
        <v>680271700</v>
      </c>
      <c r="M281" s="210">
        <f t="shared" si="126"/>
        <v>0</v>
      </c>
      <c r="N281" s="210">
        <f t="shared" si="126"/>
        <v>680271700</v>
      </c>
      <c r="O281" s="210">
        <f t="shared" si="126"/>
        <v>717602300</v>
      </c>
      <c r="P281" s="210">
        <f t="shared" si="126"/>
        <v>0</v>
      </c>
      <c r="Q281" s="210">
        <f t="shared" si="126"/>
        <v>6095000</v>
      </c>
      <c r="R281" s="210">
        <f t="shared" si="126"/>
        <v>686366700</v>
      </c>
      <c r="S281" s="210">
        <f t="shared" si="126"/>
        <v>717602300</v>
      </c>
      <c r="T281" s="211">
        <f t="shared" si="126"/>
        <v>740052800</v>
      </c>
      <c r="U281" s="211">
        <f t="shared" si="126"/>
        <v>0</v>
      </c>
      <c r="V281" s="210">
        <f t="shared" si="126"/>
        <v>0</v>
      </c>
      <c r="W281" s="210">
        <f t="shared" si="126"/>
        <v>717602300</v>
      </c>
      <c r="X281" s="211">
        <f t="shared" si="126"/>
        <v>740052800</v>
      </c>
      <c r="Y281" s="118">
        <f>Y282</f>
        <v>0</v>
      </c>
      <c r="Z281" s="210">
        <f>Z282</f>
        <v>740052800</v>
      </c>
    </row>
    <row r="282" spans="1:26" x14ac:dyDescent="0.2">
      <c r="A282" s="304"/>
      <c r="B282" s="362" t="s">
        <v>22</v>
      </c>
      <c r="C282" s="72" t="s">
        <v>1</v>
      </c>
      <c r="D282" s="73" t="s">
        <v>135</v>
      </c>
      <c r="E282" s="72" t="s">
        <v>135</v>
      </c>
      <c r="F282" s="72" t="s">
        <v>135</v>
      </c>
      <c r="G282" s="74" t="s">
        <v>279</v>
      </c>
      <c r="H282" s="67" t="s">
        <v>135</v>
      </c>
      <c r="I282" s="208" t="s">
        <v>23</v>
      </c>
      <c r="J282" s="118">
        <v>526443500</v>
      </c>
      <c r="K282" s="209">
        <v>0</v>
      </c>
      <c r="L282" s="216">
        <v>680271700</v>
      </c>
      <c r="M282" s="216">
        <v>0</v>
      </c>
      <c r="N282" s="216">
        <v>680271700</v>
      </c>
      <c r="O282" s="216">
        <v>717602300</v>
      </c>
      <c r="P282" s="216">
        <v>0</v>
      </c>
      <c r="Q282" s="216">
        <v>6095000</v>
      </c>
      <c r="R282" s="216">
        <f>Q282+N282</f>
        <v>686366700</v>
      </c>
      <c r="S282" s="216">
        <v>717602300</v>
      </c>
      <c r="T282" s="217">
        <v>740052800</v>
      </c>
      <c r="U282" s="217">
        <v>0</v>
      </c>
      <c r="V282" s="216">
        <v>0</v>
      </c>
      <c r="W282" s="216">
        <v>717602300</v>
      </c>
      <c r="X282" s="217">
        <v>740052800</v>
      </c>
      <c r="Y282" s="68">
        <v>0</v>
      </c>
      <c r="Z282" s="216">
        <v>740052800</v>
      </c>
    </row>
    <row r="283" spans="1:26" ht="63.75" x14ac:dyDescent="0.2">
      <c r="A283" s="304"/>
      <c r="B283" s="363" t="s">
        <v>274</v>
      </c>
      <c r="C283" s="79" t="s">
        <v>1</v>
      </c>
      <c r="D283" s="82" t="s">
        <v>135</v>
      </c>
      <c r="E283" s="72" t="s">
        <v>135</v>
      </c>
      <c r="F283" s="72" t="s">
        <v>135</v>
      </c>
      <c r="G283" s="71" t="s">
        <v>275</v>
      </c>
      <c r="H283" s="67" t="s">
        <v>135</v>
      </c>
      <c r="I283" s="208"/>
      <c r="J283" s="118">
        <f t="shared" ref="J283:Y284" si="127">J284</f>
        <v>6102176.6600000001</v>
      </c>
      <c r="K283" s="209">
        <f t="shared" si="127"/>
        <v>0</v>
      </c>
      <c r="L283" s="210">
        <f t="shared" si="127"/>
        <v>7154624.5999999996</v>
      </c>
      <c r="M283" s="210">
        <f t="shared" si="127"/>
        <v>-8776.1</v>
      </c>
      <c r="N283" s="210">
        <f t="shared" si="127"/>
        <v>7145848.5</v>
      </c>
      <c r="O283" s="210">
        <f t="shared" si="127"/>
        <v>7534320</v>
      </c>
      <c r="P283" s="210">
        <f t="shared" si="127"/>
        <v>-869170</v>
      </c>
      <c r="Q283" s="210">
        <f t="shared" si="127"/>
        <v>0</v>
      </c>
      <c r="R283" s="210">
        <f t="shared" si="127"/>
        <v>7145848.5</v>
      </c>
      <c r="S283" s="210">
        <f t="shared" si="127"/>
        <v>6665150</v>
      </c>
      <c r="T283" s="211">
        <f t="shared" si="127"/>
        <v>7534020</v>
      </c>
      <c r="U283" s="211">
        <f t="shared" si="127"/>
        <v>-3409600</v>
      </c>
      <c r="V283" s="210">
        <f t="shared" si="127"/>
        <v>0</v>
      </c>
      <c r="W283" s="210">
        <f t="shared" si="127"/>
        <v>6665150</v>
      </c>
      <c r="X283" s="211">
        <f t="shared" si="127"/>
        <v>4124420</v>
      </c>
      <c r="Y283" s="118">
        <f t="shared" si="127"/>
        <v>0</v>
      </c>
      <c r="Z283" s="210">
        <f>Z284</f>
        <v>4124420</v>
      </c>
    </row>
    <row r="284" spans="1:26" ht="25.5" x14ac:dyDescent="0.2">
      <c r="A284" s="304"/>
      <c r="B284" s="362" t="s">
        <v>21</v>
      </c>
      <c r="C284" s="79" t="s">
        <v>1</v>
      </c>
      <c r="D284" s="82" t="s">
        <v>135</v>
      </c>
      <c r="E284" s="72" t="s">
        <v>135</v>
      </c>
      <c r="F284" s="72" t="s">
        <v>135</v>
      </c>
      <c r="G284" s="71" t="s">
        <v>275</v>
      </c>
      <c r="H284" s="67" t="s">
        <v>135</v>
      </c>
      <c r="I284" s="208" t="s">
        <v>149</v>
      </c>
      <c r="J284" s="118">
        <f t="shared" si="127"/>
        <v>6102176.6600000001</v>
      </c>
      <c r="K284" s="209">
        <f t="shared" si="127"/>
        <v>0</v>
      </c>
      <c r="L284" s="210">
        <f t="shared" si="127"/>
        <v>7154624.5999999996</v>
      </c>
      <c r="M284" s="210">
        <f t="shared" si="127"/>
        <v>-8776.1</v>
      </c>
      <c r="N284" s="210">
        <f t="shared" si="127"/>
        <v>7145848.5</v>
      </c>
      <c r="O284" s="210">
        <f t="shared" si="127"/>
        <v>7534320</v>
      </c>
      <c r="P284" s="210">
        <f t="shared" si="127"/>
        <v>-869170</v>
      </c>
      <c r="Q284" s="210">
        <f t="shared" si="127"/>
        <v>0</v>
      </c>
      <c r="R284" s="210">
        <f t="shared" si="127"/>
        <v>7145848.5</v>
      </c>
      <c r="S284" s="210">
        <f t="shared" si="127"/>
        <v>6665150</v>
      </c>
      <c r="T284" s="211">
        <f t="shared" si="127"/>
        <v>7534020</v>
      </c>
      <c r="U284" s="211">
        <f t="shared" si="127"/>
        <v>-3409600</v>
      </c>
      <c r="V284" s="210">
        <f t="shared" si="127"/>
        <v>0</v>
      </c>
      <c r="W284" s="210">
        <f t="shared" si="127"/>
        <v>6665150</v>
      </c>
      <c r="X284" s="211">
        <f t="shared" si="127"/>
        <v>4124420</v>
      </c>
      <c r="Y284" s="118">
        <f>Y285</f>
        <v>0</v>
      </c>
      <c r="Z284" s="210">
        <f>Z285</f>
        <v>4124420</v>
      </c>
    </row>
    <row r="285" spans="1:26" x14ac:dyDescent="0.2">
      <c r="A285" s="304"/>
      <c r="B285" s="362" t="s">
        <v>22</v>
      </c>
      <c r="C285" s="79" t="s">
        <v>1</v>
      </c>
      <c r="D285" s="82" t="s">
        <v>135</v>
      </c>
      <c r="E285" s="72" t="s">
        <v>135</v>
      </c>
      <c r="F285" s="72" t="s">
        <v>135</v>
      </c>
      <c r="G285" s="71" t="s">
        <v>275</v>
      </c>
      <c r="H285" s="67" t="s">
        <v>135</v>
      </c>
      <c r="I285" s="208" t="s">
        <v>23</v>
      </c>
      <c r="J285" s="118">
        <v>6102176.6600000001</v>
      </c>
      <c r="K285" s="209">
        <v>0</v>
      </c>
      <c r="L285" s="216">
        <v>7154624.5999999996</v>
      </c>
      <c r="M285" s="216">
        <v>-8776.1</v>
      </c>
      <c r="N285" s="216">
        <f>M285+L285</f>
        <v>7145848.5</v>
      </c>
      <c r="O285" s="215">
        <v>7534320</v>
      </c>
      <c r="P285" s="216">
        <v>-869170</v>
      </c>
      <c r="Q285" s="216">
        <v>0</v>
      </c>
      <c r="R285" s="216">
        <v>7145848.5</v>
      </c>
      <c r="S285" s="216">
        <f>P285+O285</f>
        <v>6665150</v>
      </c>
      <c r="T285" s="216">
        <v>7534020</v>
      </c>
      <c r="U285" s="216">
        <v>-3409600</v>
      </c>
      <c r="V285" s="216">
        <v>0</v>
      </c>
      <c r="W285" s="216">
        <v>6665150</v>
      </c>
      <c r="X285" s="217">
        <f>U285+T285</f>
        <v>4124420</v>
      </c>
      <c r="Y285" s="215">
        <v>0</v>
      </c>
      <c r="Z285" s="216">
        <v>4124420</v>
      </c>
    </row>
    <row r="286" spans="1:26" ht="191.25" x14ac:dyDescent="0.2">
      <c r="A286" s="304"/>
      <c r="B286" s="514" t="s">
        <v>416</v>
      </c>
      <c r="C286" s="79" t="s">
        <v>1</v>
      </c>
      <c r="D286" s="82" t="s">
        <v>135</v>
      </c>
      <c r="E286" s="66" t="s">
        <v>135</v>
      </c>
      <c r="F286" s="66" t="s">
        <v>135</v>
      </c>
      <c r="G286" s="71" t="s">
        <v>401</v>
      </c>
      <c r="H286" s="67" t="s">
        <v>135</v>
      </c>
      <c r="I286" s="208"/>
      <c r="J286" s="68"/>
      <c r="K286" s="69"/>
      <c r="L286" s="502">
        <f t="shared" ref="L286:Z290" si="128">L287</f>
        <v>493076</v>
      </c>
      <c r="M286" s="69">
        <f t="shared" si="128"/>
        <v>198957</v>
      </c>
      <c r="N286" s="216">
        <f t="shared" si="128"/>
        <v>1176500</v>
      </c>
      <c r="O286" s="498">
        <f t="shared" si="128"/>
        <v>0</v>
      </c>
      <c r="P286" s="69">
        <f t="shared" si="128"/>
        <v>0</v>
      </c>
      <c r="Q286" s="215">
        <f t="shared" si="128"/>
        <v>0</v>
      </c>
      <c r="R286" s="216">
        <f t="shared" si="128"/>
        <v>1176500</v>
      </c>
      <c r="S286" s="217">
        <f t="shared" si="128"/>
        <v>0</v>
      </c>
      <c r="T286" s="498">
        <f t="shared" si="128"/>
        <v>0</v>
      </c>
      <c r="U286" s="215"/>
      <c r="V286" s="216">
        <f t="shared" si="128"/>
        <v>0</v>
      </c>
      <c r="W286" s="216">
        <f t="shared" si="128"/>
        <v>0</v>
      </c>
      <c r="X286" s="216">
        <f t="shared" si="128"/>
        <v>0</v>
      </c>
      <c r="Y286" s="215">
        <f t="shared" si="128"/>
        <v>0</v>
      </c>
      <c r="Z286" s="216">
        <f t="shared" si="128"/>
        <v>0</v>
      </c>
    </row>
    <row r="287" spans="1:26" ht="25.5" x14ac:dyDescent="0.2">
      <c r="A287" s="304"/>
      <c r="B287" s="500" t="s">
        <v>21</v>
      </c>
      <c r="C287" s="79" t="s">
        <v>1</v>
      </c>
      <c r="D287" s="82" t="s">
        <v>135</v>
      </c>
      <c r="E287" s="66" t="s">
        <v>135</v>
      </c>
      <c r="F287" s="66" t="s">
        <v>135</v>
      </c>
      <c r="G287" s="71" t="s">
        <v>401</v>
      </c>
      <c r="H287" s="67" t="s">
        <v>135</v>
      </c>
      <c r="I287" s="208" t="s">
        <v>149</v>
      </c>
      <c r="J287" s="68"/>
      <c r="K287" s="69"/>
      <c r="L287" s="502">
        <f t="shared" si="128"/>
        <v>493076</v>
      </c>
      <c r="M287" s="69">
        <f t="shared" si="128"/>
        <v>198957</v>
      </c>
      <c r="N287" s="216">
        <f t="shared" si="128"/>
        <v>1176500</v>
      </c>
      <c r="O287" s="498">
        <f t="shared" si="128"/>
        <v>0</v>
      </c>
      <c r="P287" s="69">
        <f t="shared" si="128"/>
        <v>0</v>
      </c>
      <c r="Q287" s="215">
        <f t="shared" si="128"/>
        <v>0</v>
      </c>
      <c r="R287" s="216">
        <f t="shared" si="128"/>
        <v>1176500</v>
      </c>
      <c r="S287" s="217">
        <f t="shared" si="128"/>
        <v>0</v>
      </c>
      <c r="T287" s="498">
        <f t="shared" si="128"/>
        <v>0</v>
      </c>
      <c r="U287" s="215"/>
      <c r="V287" s="216">
        <f t="shared" si="128"/>
        <v>0</v>
      </c>
      <c r="W287" s="216">
        <f t="shared" si="128"/>
        <v>0</v>
      </c>
      <c r="X287" s="216">
        <f t="shared" si="128"/>
        <v>0</v>
      </c>
      <c r="Y287" s="215">
        <f t="shared" si="128"/>
        <v>0</v>
      </c>
      <c r="Z287" s="216">
        <f t="shared" si="128"/>
        <v>0</v>
      </c>
    </row>
    <row r="288" spans="1:26" x14ac:dyDescent="0.2">
      <c r="A288" s="304"/>
      <c r="B288" s="501" t="s">
        <v>22</v>
      </c>
      <c r="C288" s="79" t="s">
        <v>1</v>
      </c>
      <c r="D288" s="82" t="s">
        <v>135</v>
      </c>
      <c r="E288" s="66" t="s">
        <v>135</v>
      </c>
      <c r="F288" s="66" t="s">
        <v>135</v>
      </c>
      <c r="G288" s="71" t="s">
        <v>401</v>
      </c>
      <c r="H288" s="67" t="s">
        <v>135</v>
      </c>
      <c r="I288" s="208" t="s">
        <v>23</v>
      </c>
      <c r="J288" s="68"/>
      <c r="K288" s="69"/>
      <c r="L288" s="502">
        <v>493076</v>
      </c>
      <c r="M288" s="69">
        <f>51160+76387+13110+58300</f>
        <v>198957</v>
      </c>
      <c r="N288" s="216">
        <v>1176500</v>
      </c>
      <c r="O288" s="498">
        <v>0</v>
      </c>
      <c r="P288" s="69">
        <v>0</v>
      </c>
      <c r="Q288" s="215">
        <v>0</v>
      </c>
      <c r="R288" s="216">
        <f>N287</f>
        <v>1176500</v>
      </c>
      <c r="S288" s="217">
        <v>0</v>
      </c>
      <c r="T288" s="498">
        <v>0</v>
      </c>
      <c r="U288" s="215"/>
      <c r="V288" s="216">
        <v>0</v>
      </c>
      <c r="W288" s="216">
        <v>0</v>
      </c>
      <c r="X288" s="216">
        <v>0</v>
      </c>
      <c r="Y288" s="215">
        <v>0</v>
      </c>
      <c r="Z288" s="216">
        <v>0</v>
      </c>
    </row>
    <row r="289" spans="1:26" ht="89.25" x14ac:dyDescent="0.2">
      <c r="A289" s="304"/>
      <c r="B289" s="509" t="s">
        <v>453</v>
      </c>
      <c r="C289" s="117" t="s">
        <v>1</v>
      </c>
      <c r="D289" s="73" t="s">
        <v>135</v>
      </c>
      <c r="E289" s="66" t="s">
        <v>135</v>
      </c>
      <c r="F289" s="66" t="s">
        <v>135</v>
      </c>
      <c r="G289" s="74" t="s">
        <v>450</v>
      </c>
      <c r="H289" s="67" t="s">
        <v>133</v>
      </c>
      <c r="I289" s="372"/>
      <c r="J289" s="68"/>
      <c r="K289" s="68"/>
      <c r="L289" s="68"/>
      <c r="M289" s="68"/>
      <c r="N289" s="216">
        <f t="shared" si="128"/>
        <v>0</v>
      </c>
      <c r="O289" s="498">
        <f t="shared" si="128"/>
        <v>0</v>
      </c>
      <c r="P289" s="69">
        <f t="shared" si="128"/>
        <v>0</v>
      </c>
      <c r="Q289" s="215">
        <f t="shared" si="128"/>
        <v>0</v>
      </c>
      <c r="R289" s="216">
        <f t="shared" si="128"/>
        <v>0</v>
      </c>
      <c r="S289" s="217">
        <f t="shared" si="128"/>
        <v>0</v>
      </c>
      <c r="T289" s="498">
        <f t="shared" si="128"/>
        <v>0</v>
      </c>
      <c r="U289" s="215"/>
      <c r="V289" s="216">
        <f t="shared" si="128"/>
        <v>699690.89</v>
      </c>
      <c r="W289" s="216">
        <f t="shared" si="128"/>
        <v>699690.89</v>
      </c>
      <c r="X289" s="216">
        <f t="shared" si="128"/>
        <v>0</v>
      </c>
      <c r="Y289" s="215">
        <f t="shared" si="128"/>
        <v>2086181.28</v>
      </c>
      <c r="Z289" s="216">
        <f t="shared" si="128"/>
        <v>2086181.28</v>
      </c>
    </row>
    <row r="290" spans="1:26" ht="25.5" x14ac:dyDescent="0.2">
      <c r="A290" s="304"/>
      <c r="B290" s="500" t="s">
        <v>21</v>
      </c>
      <c r="C290" s="117" t="s">
        <v>1</v>
      </c>
      <c r="D290" s="73" t="s">
        <v>135</v>
      </c>
      <c r="E290" s="66" t="s">
        <v>135</v>
      </c>
      <c r="F290" s="66" t="s">
        <v>135</v>
      </c>
      <c r="G290" s="74" t="s">
        <v>450</v>
      </c>
      <c r="H290" s="67" t="s">
        <v>133</v>
      </c>
      <c r="I290" s="372">
        <v>600</v>
      </c>
      <c r="J290" s="68"/>
      <c r="K290" s="68"/>
      <c r="L290" s="68"/>
      <c r="M290" s="68"/>
      <c r="N290" s="216">
        <f t="shared" si="128"/>
        <v>0</v>
      </c>
      <c r="O290" s="498">
        <f t="shared" si="128"/>
        <v>0</v>
      </c>
      <c r="P290" s="69">
        <f t="shared" si="128"/>
        <v>0</v>
      </c>
      <c r="Q290" s="215">
        <f t="shared" si="128"/>
        <v>0</v>
      </c>
      <c r="R290" s="216">
        <f t="shared" si="128"/>
        <v>0</v>
      </c>
      <c r="S290" s="217">
        <f t="shared" si="128"/>
        <v>0</v>
      </c>
      <c r="T290" s="498">
        <f t="shared" si="128"/>
        <v>0</v>
      </c>
      <c r="U290" s="215"/>
      <c r="V290" s="216">
        <f t="shared" si="128"/>
        <v>699690.89</v>
      </c>
      <c r="W290" s="216">
        <f t="shared" si="128"/>
        <v>699690.89</v>
      </c>
      <c r="X290" s="216">
        <f t="shared" si="128"/>
        <v>0</v>
      </c>
      <c r="Y290" s="215">
        <f t="shared" si="128"/>
        <v>2086181.28</v>
      </c>
      <c r="Z290" s="216">
        <f t="shared" si="128"/>
        <v>2086181.28</v>
      </c>
    </row>
    <row r="291" spans="1:26" x14ac:dyDescent="0.2">
      <c r="A291" s="304"/>
      <c r="B291" s="501" t="s">
        <v>22</v>
      </c>
      <c r="C291" s="117" t="s">
        <v>1</v>
      </c>
      <c r="D291" s="73" t="s">
        <v>135</v>
      </c>
      <c r="E291" s="66" t="s">
        <v>135</v>
      </c>
      <c r="F291" s="66" t="s">
        <v>135</v>
      </c>
      <c r="G291" s="74" t="s">
        <v>450</v>
      </c>
      <c r="H291" s="67" t="s">
        <v>133</v>
      </c>
      <c r="I291" s="372" t="s">
        <v>23</v>
      </c>
      <c r="J291" s="68"/>
      <c r="K291" s="68"/>
      <c r="L291" s="68"/>
      <c r="M291" s="68"/>
      <c r="N291" s="216">
        <v>0</v>
      </c>
      <c r="O291" s="498">
        <v>0</v>
      </c>
      <c r="P291" s="69">
        <v>0</v>
      </c>
      <c r="Q291" s="215">
        <v>0</v>
      </c>
      <c r="R291" s="216">
        <f>N290</f>
        <v>0</v>
      </c>
      <c r="S291" s="217">
        <v>0</v>
      </c>
      <c r="T291" s="498">
        <v>0</v>
      </c>
      <c r="U291" s="215"/>
      <c r="V291" s="216">
        <v>699690.89</v>
      </c>
      <c r="W291" s="216">
        <f>V291</f>
        <v>699690.89</v>
      </c>
      <c r="X291" s="216">
        <v>0</v>
      </c>
      <c r="Y291" s="215">
        <v>2086181.28</v>
      </c>
      <c r="Z291" s="216">
        <f>Y291</f>
        <v>2086181.28</v>
      </c>
    </row>
    <row r="292" spans="1:26" ht="38.25" x14ac:dyDescent="0.2">
      <c r="A292" s="304"/>
      <c r="B292" s="212" t="s">
        <v>347</v>
      </c>
      <c r="C292" s="117" t="s">
        <v>1</v>
      </c>
      <c r="D292" s="73" t="s">
        <v>135</v>
      </c>
      <c r="E292" s="66" t="s">
        <v>135</v>
      </c>
      <c r="F292" s="66" t="s">
        <v>135</v>
      </c>
      <c r="G292" s="74" t="s">
        <v>389</v>
      </c>
      <c r="H292" s="67" t="s">
        <v>135</v>
      </c>
      <c r="I292" s="372"/>
      <c r="J292" s="118"/>
      <c r="K292" s="209"/>
      <c r="L292" s="223"/>
      <c r="M292" s="223"/>
      <c r="N292" s="223">
        <f>N297+N293+N295</f>
        <v>11866600</v>
      </c>
      <c r="O292" s="223">
        <f t="shared" ref="O292:Z292" si="129">O297+O293+O295</f>
        <v>0</v>
      </c>
      <c r="P292" s="223">
        <f t="shared" si="129"/>
        <v>0</v>
      </c>
      <c r="Q292" s="223">
        <f>Q297+Q293+Q295</f>
        <v>-5397900</v>
      </c>
      <c r="R292" s="224">
        <f t="shared" si="129"/>
        <v>6468700</v>
      </c>
      <c r="S292" s="223">
        <f t="shared" si="129"/>
        <v>0</v>
      </c>
      <c r="T292" s="223">
        <f t="shared" si="129"/>
        <v>0</v>
      </c>
      <c r="U292" s="223">
        <f t="shared" si="129"/>
        <v>0</v>
      </c>
      <c r="V292" s="223">
        <f t="shared" si="129"/>
        <v>0</v>
      </c>
      <c r="W292" s="223">
        <f t="shared" si="129"/>
        <v>0</v>
      </c>
      <c r="X292" s="223">
        <f t="shared" si="129"/>
        <v>0</v>
      </c>
      <c r="Y292" s="223">
        <f t="shared" si="129"/>
        <v>0</v>
      </c>
      <c r="Z292" s="224">
        <f t="shared" si="129"/>
        <v>0</v>
      </c>
    </row>
    <row r="293" spans="1:26" ht="25.5" x14ac:dyDescent="0.2">
      <c r="A293" s="304"/>
      <c r="B293" s="362" t="s">
        <v>52</v>
      </c>
      <c r="C293" s="117" t="s">
        <v>1</v>
      </c>
      <c r="D293" s="73" t="s">
        <v>135</v>
      </c>
      <c r="E293" s="66" t="s">
        <v>135</v>
      </c>
      <c r="F293" s="66" t="s">
        <v>135</v>
      </c>
      <c r="G293" s="74" t="s">
        <v>389</v>
      </c>
      <c r="H293" s="67" t="s">
        <v>135</v>
      </c>
      <c r="I293" s="372" t="s">
        <v>53</v>
      </c>
      <c r="J293" s="118"/>
      <c r="K293" s="209"/>
      <c r="L293" s="223"/>
      <c r="M293" s="223"/>
      <c r="N293" s="223">
        <f>N294</f>
        <v>69000</v>
      </c>
      <c r="O293" s="223"/>
      <c r="P293" s="223"/>
      <c r="Q293" s="223">
        <f>Q294</f>
        <v>0</v>
      </c>
      <c r="R293" s="224">
        <f>R294</f>
        <v>69000</v>
      </c>
      <c r="S293" s="223">
        <f>S294</f>
        <v>0</v>
      </c>
      <c r="T293" s="223"/>
      <c r="U293" s="223"/>
      <c r="V293" s="224">
        <f>V294</f>
        <v>0</v>
      </c>
      <c r="W293" s="225">
        <f>W294</f>
        <v>0</v>
      </c>
      <c r="X293" s="225">
        <f>X294</f>
        <v>0</v>
      </c>
      <c r="Y293" s="64">
        <f>Y294</f>
        <v>0</v>
      </c>
      <c r="Z293" s="224">
        <f>Z294</f>
        <v>0</v>
      </c>
    </row>
    <row r="294" spans="1:26" ht="25.5" x14ac:dyDescent="0.2">
      <c r="A294" s="304"/>
      <c r="B294" s="362" t="s">
        <v>54</v>
      </c>
      <c r="C294" s="117" t="s">
        <v>1</v>
      </c>
      <c r="D294" s="73" t="s">
        <v>135</v>
      </c>
      <c r="E294" s="66" t="s">
        <v>135</v>
      </c>
      <c r="F294" s="66" t="s">
        <v>135</v>
      </c>
      <c r="G294" s="74" t="s">
        <v>389</v>
      </c>
      <c r="H294" s="67" t="s">
        <v>135</v>
      </c>
      <c r="I294" s="372" t="s">
        <v>55</v>
      </c>
      <c r="J294" s="118"/>
      <c r="K294" s="209"/>
      <c r="L294" s="223"/>
      <c r="M294" s="223"/>
      <c r="N294" s="223">
        <v>69000</v>
      </c>
      <c r="O294" s="223"/>
      <c r="P294" s="223"/>
      <c r="Q294" s="223">
        <v>0</v>
      </c>
      <c r="R294" s="224">
        <f>N294</f>
        <v>69000</v>
      </c>
      <c r="S294" s="223">
        <v>0</v>
      </c>
      <c r="T294" s="223"/>
      <c r="U294" s="223"/>
      <c r="V294" s="224">
        <v>0</v>
      </c>
      <c r="W294" s="225">
        <f>V294</f>
        <v>0</v>
      </c>
      <c r="X294" s="225">
        <v>0</v>
      </c>
      <c r="Y294" s="64">
        <v>0</v>
      </c>
      <c r="Z294" s="224">
        <v>0</v>
      </c>
    </row>
    <row r="295" spans="1:26" ht="25.5" x14ac:dyDescent="0.2">
      <c r="A295" s="304"/>
      <c r="B295" s="207" t="s">
        <v>187</v>
      </c>
      <c r="C295" s="117" t="s">
        <v>1</v>
      </c>
      <c r="D295" s="73" t="s">
        <v>135</v>
      </c>
      <c r="E295" s="66" t="s">
        <v>135</v>
      </c>
      <c r="F295" s="66" t="s">
        <v>135</v>
      </c>
      <c r="G295" s="74" t="s">
        <v>389</v>
      </c>
      <c r="H295" s="67" t="s">
        <v>135</v>
      </c>
      <c r="I295" s="372" t="s">
        <v>160</v>
      </c>
      <c r="J295" s="118"/>
      <c r="K295" s="209"/>
      <c r="L295" s="223"/>
      <c r="M295" s="223"/>
      <c r="N295" s="223">
        <f>N296</f>
        <v>0</v>
      </c>
      <c r="O295" s="223"/>
      <c r="P295" s="223"/>
      <c r="Q295" s="223">
        <f>Q296</f>
        <v>520000</v>
      </c>
      <c r="R295" s="224">
        <f>R296</f>
        <v>520000</v>
      </c>
      <c r="S295" s="223">
        <f>S296</f>
        <v>0</v>
      </c>
      <c r="T295" s="223"/>
      <c r="U295" s="223"/>
      <c r="V295" s="224">
        <f>V296</f>
        <v>0</v>
      </c>
      <c r="W295" s="225">
        <f>W296</f>
        <v>0</v>
      </c>
      <c r="X295" s="225">
        <f>X296</f>
        <v>0</v>
      </c>
      <c r="Y295" s="64">
        <f>Y296</f>
        <v>0</v>
      </c>
      <c r="Z295" s="224">
        <f>Z296</f>
        <v>0</v>
      </c>
    </row>
    <row r="296" spans="1:26" x14ac:dyDescent="0.2">
      <c r="A296" s="304"/>
      <c r="B296" s="258" t="s">
        <v>162</v>
      </c>
      <c r="C296" s="117" t="s">
        <v>1</v>
      </c>
      <c r="D296" s="73" t="s">
        <v>135</v>
      </c>
      <c r="E296" s="66" t="s">
        <v>135</v>
      </c>
      <c r="F296" s="66" t="s">
        <v>135</v>
      </c>
      <c r="G296" s="74" t="s">
        <v>389</v>
      </c>
      <c r="H296" s="67" t="s">
        <v>135</v>
      </c>
      <c r="I296" s="372" t="s">
        <v>161</v>
      </c>
      <c r="J296" s="118"/>
      <c r="K296" s="209"/>
      <c r="L296" s="223"/>
      <c r="M296" s="223"/>
      <c r="N296" s="223">
        <v>0</v>
      </c>
      <c r="O296" s="223"/>
      <c r="P296" s="223"/>
      <c r="Q296" s="223">
        <v>520000</v>
      </c>
      <c r="R296" s="224">
        <f>Q296</f>
        <v>520000</v>
      </c>
      <c r="S296" s="223">
        <v>0</v>
      </c>
      <c r="T296" s="223"/>
      <c r="U296" s="223"/>
      <c r="V296" s="224">
        <v>0</v>
      </c>
      <c r="W296" s="225">
        <f>V296</f>
        <v>0</v>
      </c>
      <c r="X296" s="225">
        <v>0</v>
      </c>
      <c r="Y296" s="64">
        <v>0</v>
      </c>
      <c r="Z296" s="224">
        <v>0</v>
      </c>
    </row>
    <row r="297" spans="1:26" ht="25.5" x14ac:dyDescent="0.2">
      <c r="A297" s="304"/>
      <c r="B297" s="212" t="s">
        <v>21</v>
      </c>
      <c r="C297" s="117" t="s">
        <v>1</v>
      </c>
      <c r="D297" s="73" t="s">
        <v>135</v>
      </c>
      <c r="E297" s="66" t="s">
        <v>135</v>
      </c>
      <c r="F297" s="66" t="s">
        <v>135</v>
      </c>
      <c r="G297" s="74" t="s">
        <v>389</v>
      </c>
      <c r="H297" s="67" t="s">
        <v>135</v>
      </c>
      <c r="I297" s="372">
        <v>600</v>
      </c>
      <c r="J297" s="118"/>
      <c r="K297" s="209"/>
      <c r="L297" s="223"/>
      <c r="M297" s="223"/>
      <c r="N297" s="223">
        <f>N298</f>
        <v>11797600</v>
      </c>
      <c r="O297" s="223"/>
      <c r="P297" s="223"/>
      <c r="Q297" s="223">
        <f>Q298</f>
        <v>-5917900</v>
      </c>
      <c r="R297" s="224">
        <f>R298</f>
        <v>5879700</v>
      </c>
      <c r="S297" s="223">
        <f>S298</f>
        <v>0</v>
      </c>
      <c r="T297" s="223"/>
      <c r="U297" s="223"/>
      <c r="V297" s="224">
        <f>V298</f>
        <v>0</v>
      </c>
      <c r="W297" s="225">
        <f>W298</f>
        <v>0</v>
      </c>
      <c r="X297" s="225">
        <f>X298</f>
        <v>0</v>
      </c>
      <c r="Y297" s="64">
        <f>Y298</f>
        <v>0</v>
      </c>
      <c r="Z297" s="224">
        <f>Z298</f>
        <v>0</v>
      </c>
    </row>
    <row r="298" spans="1:26" x14ac:dyDescent="0.2">
      <c r="A298" s="304"/>
      <c r="B298" s="212" t="s">
        <v>22</v>
      </c>
      <c r="C298" s="117" t="s">
        <v>1</v>
      </c>
      <c r="D298" s="73" t="s">
        <v>135</v>
      </c>
      <c r="E298" s="66" t="s">
        <v>135</v>
      </c>
      <c r="F298" s="66" t="s">
        <v>135</v>
      </c>
      <c r="G298" s="74" t="s">
        <v>389</v>
      </c>
      <c r="H298" s="67" t="s">
        <v>135</v>
      </c>
      <c r="I298" s="372" t="s">
        <v>23</v>
      </c>
      <c r="J298" s="118"/>
      <c r="K298" s="209"/>
      <c r="L298" s="223"/>
      <c r="M298" s="223"/>
      <c r="N298" s="223">
        <v>11797600</v>
      </c>
      <c r="O298" s="223"/>
      <c r="P298" s="223"/>
      <c r="Q298" s="223">
        <v>-5917900</v>
      </c>
      <c r="R298" s="224">
        <f>Q298+N298</f>
        <v>5879700</v>
      </c>
      <c r="S298" s="223">
        <v>0</v>
      </c>
      <c r="T298" s="223"/>
      <c r="U298" s="223"/>
      <c r="V298" s="224">
        <v>0</v>
      </c>
      <c r="W298" s="225">
        <f>V298</f>
        <v>0</v>
      </c>
      <c r="X298" s="225">
        <v>0</v>
      </c>
      <c r="Y298" s="64">
        <v>0</v>
      </c>
      <c r="Z298" s="224">
        <v>0</v>
      </c>
    </row>
    <row r="299" spans="1:26" ht="63.75" x14ac:dyDescent="0.2">
      <c r="A299" s="304"/>
      <c r="B299" s="362" t="s">
        <v>278</v>
      </c>
      <c r="C299" s="66" t="s">
        <v>1</v>
      </c>
      <c r="D299" s="70" t="s">
        <v>135</v>
      </c>
      <c r="E299" s="66" t="s">
        <v>135</v>
      </c>
      <c r="F299" s="66" t="s">
        <v>135</v>
      </c>
      <c r="G299" s="71" t="s">
        <v>223</v>
      </c>
      <c r="H299" s="66" t="s">
        <v>133</v>
      </c>
      <c r="I299" s="208"/>
      <c r="J299" s="118">
        <f t="shared" ref="J299:Y300" si="130">J300</f>
        <v>10533133.85</v>
      </c>
      <c r="K299" s="209">
        <f t="shared" si="130"/>
        <v>0</v>
      </c>
      <c r="L299" s="210">
        <f t="shared" si="130"/>
        <v>11588291.82</v>
      </c>
      <c r="M299" s="210">
        <f t="shared" si="130"/>
        <v>-938011.05</v>
      </c>
      <c r="N299" s="210">
        <f t="shared" si="130"/>
        <v>10650280.77</v>
      </c>
      <c r="O299" s="210">
        <f t="shared" si="130"/>
        <v>11149665.060000001</v>
      </c>
      <c r="P299" s="210">
        <f t="shared" si="130"/>
        <v>-1429241.36</v>
      </c>
      <c r="Q299" s="210">
        <f t="shared" si="130"/>
        <v>0</v>
      </c>
      <c r="R299" s="210">
        <f t="shared" si="130"/>
        <v>10650280.77</v>
      </c>
      <c r="S299" s="210">
        <f t="shared" si="130"/>
        <v>9720423.7000000011</v>
      </c>
      <c r="T299" s="211">
        <f t="shared" si="130"/>
        <v>12016699.83</v>
      </c>
      <c r="U299" s="211">
        <f t="shared" si="130"/>
        <v>-1811240.45</v>
      </c>
      <c r="V299" s="210">
        <f t="shared" si="130"/>
        <v>0</v>
      </c>
      <c r="W299" s="211">
        <f t="shared" si="130"/>
        <v>9720423.6999999993</v>
      </c>
      <c r="X299" s="211">
        <f t="shared" si="130"/>
        <v>10205459.380000001</v>
      </c>
      <c r="Y299" s="118">
        <f t="shared" si="130"/>
        <v>0</v>
      </c>
      <c r="Z299" s="210">
        <f>Z300</f>
        <v>10205459.380000001</v>
      </c>
    </row>
    <row r="300" spans="1:26" ht="25.5" x14ac:dyDescent="0.2">
      <c r="A300" s="304"/>
      <c r="B300" s="362" t="s">
        <v>21</v>
      </c>
      <c r="C300" s="66" t="s">
        <v>1</v>
      </c>
      <c r="D300" s="70" t="s">
        <v>135</v>
      </c>
      <c r="E300" s="66" t="s">
        <v>135</v>
      </c>
      <c r="F300" s="66" t="s">
        <v>135</v>
      </c>
      <c r="G300" s="71" t="s">
        <v>223</v>
      </c>
      <c r="H300" s="66" t="s">
        <v>133</v>
      </c>
      <c r="I300" s="208" t="s">
        <v>149</v>
      </c>
      <c r="J300" s="118">
        <f t="shared" si="130"/>
        <v>10533133.85</v>
      </c>
      <c r="K300" s="209">
        <f t="shared" si="130"/>
        <v>0</v>
      </c>
      <c r="L300" s="210">
        <f t="shared" si="130"/>
        <v>11588291.82</v>
      </c>
      <c r="M300" s="210">
        <f t="shared" si="130"/>
        <v>-938011.05</v>
      </c>
      <c r="N300" s="210">
        <f t="shared" si="130"/>
        <v>10650280.77</v>
      </c>
      <c r="O300" s="210">
        <f t="shared" si="130"/>
        <v>11149665.060000001</v>
      </c>
      <c r="P300" s="210">
        <f t="shared" si="130"/>
        <v>-1429241.36</v>
      </c>
      <c r="Q300" s="210">
        <f t="shared" si="130"/>
        <v>0</v>
      </c>
      <c r="R300" s="210">
        <f t="shared" si="130"/>
        <v>10650280.77</v>
      </c>
      <c r="S300" s="210">
        <f t="shared" si="130"/>
        <v>9720423.7000000011</v>
      </c>
      <c r="T300" s="211">
        <f t="shared" si="130"/>
        <v>12016699.83</v>
      </c>
      <c r="U300" s="211">
        <f t="shared" si="130"/>
        <v>-1811240.45</v>
      </c>
      <c r="V300" s="210">
        <f t="shared" si="130"/>
        <v>0</v>
      </c>
      <c r="W300" s="211">
        <f t="shared" si="130"/>
        <v>9720423.6999999993</v>
      </c>
      <c r="X300" s="211">
        <f t="shared" si="130"/>
        <v>10205459.380000001</v>
      </c>
      <c r="Y300" s="118">
        <f>Y301</f>
        <v>0</v>
      </c>
      <c r="Z300" s="210">
        <f>Z301</f>
        <v>10205459.380000001</v>
      </c>
    </row>
    <row r="301" spans="1:26" x14ac:dyDescent="0.2">
      <c r="A301" s="304"/>
      <c r="B301" s="362" t="s">
        <v>22</v>
      </c>
      <c r="C301" s="66" t="s">
        <v>1</v>
      </c>
      <c r="D301" s="70" t="s">
        <v>135</v>
      </c>
      <c r="E301" s="66" t="s">
        <v>135</v>
      </c>
      <c r="F301" s="66" t="s">
        <v>135</v>
      </c>
      <c r="G301" s="71" t="s">
        <v>223</v>
      </c>
      <c r="H301" s="66" t="s">
        <v>133</v>
      </c>
      <c r="I301" s="208" t="s">
        <v>23</v>
      </c>
      <c r="J301" s="118">
        <f>10483133.85+50000</f>
        <v>10533133.85</v>
      </c>
      <c r="K301" s="209">
        <v>0</v>
      </c>
      <c r="L301" s="216">
        <f>11538291.82+50000</f>
        <v>11588291.82</v>
      </c>
      <c r="M301" s="216">
        <v>-938011.05</v>
      </c>
      <c r="N301" s="216">
        <f>M301+L301</f>
        <v>10650280.77</v>
      </c>
      <c r="O301" s="215">
        <f>11099665.06+50000</f>
        <v>11149665.060000001</v>
      </c>
      <c r="P301" s="216">
        <v>-1429241.36</v>
      </c>
      <c r="Q301" s="216">
        <v>0</v>
      </c>
      <c r="R301" s="216">
        <v>10650280.77</v>
      </c>
      <c r="S301" s="216">
        <f>P301+O301</f>
        <v>9720423.7000000011</v>
      </c>
      <c r="T301" s="216">
        <f>11966699.83+50000</f>
        <v>12016699.83</v>
      </c>
      <c r="U301" s="216">
        <v>-1811240.45</v>
      </c>
      <c r="V301" s="216">
        <v>0</v>
      </c>
      <c r="W301" s="217">
        <v>9720423.6999999993</v>
      </c>
      <c r="X301" s="217">
        <f>U301+T301</f>
        <v>10205459.380000001</v>
      </c>
      <c r="Y301" s="215">
        <v>0</v>
      </c>
      <c r="Z301" s="216">
        <v>10205459.380000001</v>
      </c>
    </row>
    <row r="302" spans="1:26" ht="51" x14ac:dyDescent="0.2">
      <c r="A302" s="304"/>
      <c r="B302" s="500" t="s">
        <v>432</v>
      </c>
      <c r="C302" s="66" t="s">
        <v>1</v>
      </c>
      <c r="D302" s="70" t="s">
        <v>135</v>
      </c>
      <c r="E302" s="66" t="s">
        <v>135</v>
      </c>
      <c r="F302" s="66" t="s">
        <v>135</v>
      </c>
      <c r="G302" s="71" t="s">
        <v>396</v>
      </c>
      <c r="H302" s="67" t="s">
        <v>133</v>
      </c>
      <c r="I302" s="208"/>
      <c r="J302" s="68"/>
      <c r="K302" s="69"/>
      <c r="L302" s="502">
        <f t="shared" ref="L302:Z303" si="131">L303</f>
        <v>74280525.409999996</v>
      </c>
      <c r="M302" s="69">
        <f t="shared" si="131"/>
        <v>0</v>
      </c>
      <c r="N302" s="216">
        <f t="shared" si="131"/>
        <v>0</v>
      </c>
      <c r="O302" s="68">
        <f t="shared" si="131"/>
        <v>0</v>
      </c>
      <c r="P302" s="69">
        <f t="shared" si="131"/>
        <v>0</v>
      </c>
      <c r="Q302" s="216">
        <f t="shared" si="131"/>
        <v>0</v>
      </c>
      <c r="R302" s="216">
        <f t="shared" si="131"/>
        <v>0</v>
      </c>
      <c r="S302" s="216">
        <f t="shared" si="131"/>
        <v>0</v>
      </c>
      <c r="T302" s="498">
        <f t="shared" si="131"/>
        <v>0</v>
      </c>
      <c r="U302" s="215"/>
      <c r="V302" s="215">
        <f t="shared" si="131"/>
        <v>0</v>
      </c>
      <c r="W302" s="215">
        <f t="shared" si="131"/>
        <v>0</v>
      </c>
      <c r="X302" s="215">
        <f t="shared" si="131"/>
        <v>73387790.700000003</v>
      </c>
      <c r="Y302" s="215">
        <f t="shared" si="131"/>
        <v>0</v>
      </c>
      <c r="Z302" s="216">
        <f t="shared" si="131"/>
        <v>73387790.700000003</v>
      </c>
    </row>
    <row r="303" spans="1:26" ht="25.5" x14ac:dyDescent="0.2">
      <c r="A303" s="304"/>
      <c r="B303" s="500" t="s">
        <v>21</v>
      </c>
      <c r="C303" s="66" t="s">
        <v>1</v>
      </c>
      <c r="D303" s="70" t="s">
        <v>135</v>
      </c>
      <c r="E303" s="66" t="s">
        <v>135</v>
      </c>
      <c r="F303" s="66" t="s">
        <v>135</v>
      </c>
      <c r="G303" s="71" t="s">
        <v>396</v>
      </c>
      <c r="H303" s="67" t="s">
        <v>133</v>
      </c>
      <c r="I303" s="208" t="s">
        <v>149</v>
      </c>
      <c r="J303" s="68"/>
      <c r="K303" s="69"/>
      <c r="L303" s="502">
        <f t="shared" si="131"/>
        <v>74280525.409999996</v>
      </c>
      <c r="M303" s="69">
        <f t="shared" si="131"/>
        <v>0</v>
      </c>
      <c r="N303" s="216">
        <f t="shared" si="131"/>
        <v>0</v>
      </c>
      <c r="O303" s="68">
        <f t="shared" si="131"/>
        <v>0</v>
      </c>
      <c r="P303" s="69">
        <f t="shared" si="131"/>
        <v>0</v>
      </c>
      <c r="Q303" s="216">
        <f t="shared" si="131"/>
        <v>0</v>
      </c>
      <c r="R303" s="216">
        <f t="shared" si="131"/>
        <v>0</v>
      </c>
      <c r="S303" s="216">
        <f t="shared" si="131"/>
        <v>0</v>
      </c>
      <c r="T303" s="498">
        <f t="shared" si="131"/>
        <v>0</v>
      </c>
      <c r="U303" s="215"/>
      <c r="V303" s="215">
        <f t="shared" si="131"/>
        <v>0</v>
      </c>
      <c r="W303" s="216">
        <f t="shared" si="131"/>
        <v>0</v>
      </c>
      <c r="X303" s="216">
        <f t="shared" si="131"/>
        <v>73387790.700000003</v>
      </c>
      <c r="Y303" s="215">
        <f t="shared" si="131"/>
        <v>0</v>
      </c>
      <c r="Z303" s="216">
        <f t="shared" si="131"/>
        <v>73387790.700000003</v>
      </c>
    </row>
    <row r="304" spans="1:26" x14ac:dyDescent="0.2">
      <c r="A304" s="304"/>
      <c r="B304" s="500" t="s">
        <v>22</v>
      </c>
      <c r="C304" s="66" t="s">
        <v>1</v>
      </c>
      <c r="D304" s="70" t="s">
        <v>135</v>
      </c>
      <c r="E304" s="66" t="s">
        <v>135</v>
      </c>
      <c r="F304" s="66" t="s">
        <v>135</v>
      </c>
      <c r="G304" s="71" t="s">
        <v>396</v>
      </c>
      <c r="H304" s="67" t="s">
        <v>133</v>
      </c>
      <c r="I304" s="208" t="s">
        <v>23</v>
      </c>
      <c r="J304" s="68"/>
      <c r="K304" s="69"/>
      <c r="L304" s="502">
        <v>74280525.409999996</v>
      </c>
      <c r="M304" s="69">
        <v>0</v>
      </c>
      <c r="N304" s="216">
        <v>0</v>
      </c>
      <c r="O304" s="68">
        <v>0</v>
      </c>
      <c r="P304" s="69">
        <v>0</v>
      </c>
      <c r="Q304" s="216">
        <v>0</v>
      </c>
      <c r="R304" s="216">
        <v>0</v>
      </c>
      <c r="S304" s="216">
        <v>0</v>
      </c>
      <c r="T304" s="498">
        <v>0</v>
      </c>
      <c r="U304" s="215"/>
      <c r="V304" s="215">
        <v>0</v>
      </c>
      <c r="W304" s="216">
        <v>0</v>
      </c>
      <c r="X304" s="216">
        <v>73387790.700000003</v>
      </c>
      <c r="Y304" s="215">
        <v>0</v>
      </c>
      <c r="Z304" s="216">
        <v>73387790.700000003</v>
      </c>
    </row>
    <row r="305" spans="1:26" ht="102" x14ac:dyDescent="0.2">
      <c r="A305" s="304"/>
      <c r="B305" s="212" t="s">
        <v>273</v>
      </c>
      <c r="C305" s="103" t="s">
        <v>1</v>
      </c>
      <c r="D305" s="66" t="s">
        <v>135</v>
      </c>
      <c r="E305" s="66" t="s">
        <v>135</v>
      </c>
      <c r="F305" s="66" t="s">
        <v>135</v>
      </c>
      <c r="G305" s="66" t="s">
        <v>420</v>
      </c>
      <c r="H305" s="67" t="s">
        <v>133</v>
      </c>
      <c r="I305" s="309"/>
      <c r="J305" s="68">
        <f t="shared" ref="J305:Z306" si="132">J306</f>
        <v>30041850</v>
      </c>
      <c r="K305" s="69">
        <f t="shared" si="132"/>
        <v>0</v>
      </c>
      <c r="L305" s="216">
        <f t="shared" si="132"/>
        <v>27919265</v>
      </c>
      <c r="M305" s="216">
        <f t="shared" si="132"/>
        <v>0</v>
      </c>
      <c r="N305" s="216">
        <f t="shared" si="132"/>
        <v>27919265</v>
      </c>
      <c r="O305" s="215">
        <f t="shared" si="132"/>
        <v>27919265</v>
      </c>
      <c r="P305" s="216">
        <f t="shared" si="132"/>
        <v>326610</v>
      </c>
      <c r="Q305" s="216">
        <f t="shared" si="132"/>
        <v>0</v>
      </c>
      <c r="R305" s="216">
        <f t="shared" si="132"/>
        <v>27919265</v>
      </c>
      <c r="S305" s="217">
        <f t="shared" si="132"/>
        <v>28245875</v>
      </c>
      <c r="T305" s="216">
        <f t="shared" si="132"/>
        <v>27919265</v>
      </c>
      <c r="U305" s="215">
        <f t="shared" si="132"/>
        <v>163305</v>
      </c>
      <c r="V305" s="216">
        <f t="shared" si="132"/>
        <v>0</v>
      </c>
      <c r="W305" s="217">
        <f t="shared" si="132"/>
        <v>28245875</v>
      </c>
      <c r="X305" s="216">
        <f t="shared" si="132"/>
        <v>28082570</v>
      </c>
      <c r="Y305" s="215">
        <f t="shared" si="132"/>
        <v>0</v>
      </c>
      <c r="Z305" s="216">
        <f t="shared" si="132"/>
        <v>28082570</v>
      </c>
    </row>
    <row r="306" spans="1:26" ht="25.5" x14ac:dyDescent="0.2">
      <c r="A306" s="304"/>
      <c r="B306" s="212" t="s">
        <v>21</v>
      </c>
      <c r="C306" s="103" t="s">
        <v>1</v>
      </c>
      <c r="D306" s="66" t="s">
        <v>135</v>
      </c>
      <c r="E306" s="66" t="s">
        <v>135</v>
      </c>
      <c r="F306" s="66" t="s">
        <v>135</v>
      </c>
      <c r="G306" s="66" t="s">
        <v>420</v>
      </c>
      <c r="H306" s="67" t="s">
        <v>133</v>
      </c>
      <c r="I306" s="309" t="s">
        <v>149</v>
      </c>
      <c r="J306" s="68">
        <f t="shared" si="132"/>
        <v>30041850</v>
      </c>
      <c r="K306" s="69">
        <f t="shared" si="132"/>
        <v>0</v>
      </c>
      <c r="L306" s="216">
        <f t="shared" si="132"/>
        <v>27919265</v>
      </c>
      <c r="M306" s="216">
        <f t="shared" si="132"/>
        <v>0</v>
      </c>
      <c r="N306" s="216">
        <f t="shared" si="132"/>
        <v>27919265</v>
      </c>
      <c r="O306" s="215">
        <f t="shared" si="132"/>
        <v>27919265</v>
      </c>
      <c r="P306" s="216">
        <f t="shared" si="132"/>
        <v>326610</v>
      </c>
      <c r="Q306" s="216">
        <f t="shared" si="132"/>
        <v>0</v>
      </c>
      <c r="R306" s="216">
        <f t="shared" si="132"/>
        <v>27919265</v>
      </c>
      <c r="S306" s="217">
        <f t="shared" si="132"/>
        <v>28245875</v>
      </c>
      <c r="T306" s="216">
        <f t="shared" si="132"/>
        <v>27919265</v>
      </c>
      <c r="U306" s="215">
        <f t="shared" si="132"/>
        <v>163305</v>
      </c>
      <c r="V306" s="216">
        <f t="shared" si="132"/>
        <v>0</v>
      </c>
      <c r="W306" s="217">
        <f t="shared" si="132"/>
        <v>28245875</v>
      </c>
      <c r="X306" s="216">
        <f t="shared" si="132"/>
        <v>28082570</v>
      </c>
      <c r="Y306" s="215">
        <f t="shared" si="132"/>
        <v>0</v>
      </c>
      <c r="Z306" s="216">
        <f t="shared" si="132"/>
        <v>28082570</v>
      </c>
    </row>
    <row r="307" spans="1:26" x14ac:dyDescent="0.2">
      <c r="A307" s="304"/>
      <c r="B307" s="212" t="s">
        <v>22</v>
      </c>
      <c r="C307" s="103" t="s">
        <v>1</v>
      </c>
      <c r="D307" s="66" t="s">
        <v>135</v>
      </c>
      <c r="E307" s="66" t="s">
        <v>135</v>
      </c>
      <c r="F307" s="66" t="s">
        <v>135</v>
      </c>
      <c r="G307" s="66" t="s">
        <v>420</v>
      </c>
      <c r="H307" s="67" t="s">
        <v>133</v>
      </c>
      <c r="I307" s="309" t="s">
        <v>23</v>
      </c>
      <c r="J307" s="68">
        <v>30041850</v>
      </c>
      <c r="K307" s="69">
        <v>0</v>
      </c>
      <c r="L307" s="216">
        <v>27919265</v>
      </c>
      <c r="M307" s="216">
        <v>0</v>
      </c>
      <c r="N307" s="216">
        <v>27919265</v>
      </c>
      <c r="O307" s="215">
        <v>27919265</v>
      </c>
      <c r="P307" s="216">
        <v>326610</v>
      </c>
      <c r="Q307" s="216">
        <v>0</v>
      </c>
      <c r="R307" s="216">
        <v>27919265</v>
      </c>
      <c r="S307" s="217">
        <v>28245875</v>
      </c>
      <c r="T307" s="216">
        <v>27919265</v>
      </c>
      <c r="U307" s="215">
        <v>163305</v>
      </c>
      <c r="V307" s="216">
        <v>0</v>
      </c>
      <c r="W307" s="217">
        <v>28245875</v>
      </c>
      <c r="X307" s="216">
        <v>28082570</v>
      </c>
      <c r="Y307" s="215">
        <v>0</v>
      </c>
      <c r="Z307" s="216">
        <v>28082570</v>
      </c>
    </row>
    <row r="308" spans="1:26" ht="76.5" x14ac:dyDescent="0.2">
      <c r="A308" s="304"/>
      <c r="B308" s="512" t="s">
        <v>431</v>
      </c>
      <c r="C308" s="72" t="s">
        <v>1</v>
      </c>
      <c r="D308" s="66" t="s">
        <v>135</v>
      </c>
      <c r="E308" s="66" t="s">
        <v>135</v>
      </c>
      <c r="F308" s="66" t="s">
        <v>135</v>
      </c>
      <c r="G308" s="74" t="s">
        <v>399</v>
      </c>
      <c r="H308" s="67" t="s">
        <v>135</v>
      </c>
      <c r="I308" s="214"/>
      <c r="J308" s="68">
        <f t="shared" ref="J308:Y309" si="133">J309</f>
        <v>1208888</v>
      </c>
      <c r="K308" s="69">
        <f t="shared" si="133"/>
        <v>0</v>
      </c>
      <c r="L308" s="502">
        <f t="shared" si="133"/>
        <v>1202312</v>
      </c>
      <c r="M308" s="69">
        <f t="shared" si="133"/>
        <v>0</v>
      </c>
      <c r="N308" s="216">
        <f t="shared" si="133"/>
        <v>516060</v>
      </c>
      <c r="O308" s="68">
        <f t="shared" si="133"/>
        <v>1202312</v>
      </c>
      <c r="P308" s="69">
        <f t="shared" si="133"/>
        <v>0</v>
      </c>
      <c r="Q308" s="216">
        <f t="shared" si="133"/>
        <v>-516060</v>
      </c>
      <c r="R308" s="216">
        <f t="shared" si="133"/>
        <v>0</v>
      </c>
      <c r="S308" s="216">
        <f t="shared" si="133"/>
        <v>516060</v>
      </c>
      <c r="T308" s="68">
        <f t="shared" si="133"/>
        <v>1202312</v>
      </c>
      <c r="U308" s="69">
        <f t="shared" si="133"/>
        <v>0</v>
      </c>
      <c r="V308" s="215">
        <f t="shared" si="133"/>
        <v>0</v>
      </c>
      <c r="W308" s="216">
        <f t="shared" si="133"/>
        <v>516060</v>
      </c>
      <c r="X308" s="216">
        <f t="shared" si="133"/>
        <v>516060</v>
      </c>
      <c r="Y308" s="215">
        <f t="shared" si="133"/>
        <v>0</v>
      </c>
      <c r="Z308" s="216">
        <f t="shared" ref="X308:Z309" si="134">Z309</f>
        <v>516060</v>
      </c>
    </row>
    <row r="309" spans="1:26" ht="25.5" x14ac:dyDescent="0.2">
      <c r="A309" s="304"/>
      <c r="B309" s="500" t="s">
        <v>21</v>
      </c>
      <c r="C309" s="72" t="s">
        <v>1</v>
      </c>
      <c r="D309" s="66" t="s">
        <v>135</v>
      </c>
      <c r="E309" s="66" t="s">
        <v>135</v>
      </c>
      <c r="F309" s="66" t="s">
        <v>135</v>
      </c>
      <c r="G309" s="74" t="s">
        <v>399</v>
      </c>
      <c r="H309" s="67" t="s">
        <v>135</v>
      </c>
      <c r="I309" s="214" t="s">
        <v>149</v>
      </c>
      <c r="J309" s="68">
        <f t="shared" si="133"/>
        <v>1208888</v>
      </c>
      <c r="K309" s="69">
        <f t="shared" si="133"/>
        <v>0</v>
      </c>
      <c r="L309" s="502">
        <f t="shared" si="133"/>
        <v>1202312</v>
      </c>
      <c r="M309" s="69">
        <f t="shared" si="133"/>
        <v>0</v>
      </c>
      <c r="N309" s="216">
        <f t="shared" si="133"/>
        <v>516060</v>
      </c>
      <c r="O309" s="68">
        <f t="shared" si="133"/>
        <v>1202312</v>
      </c>
      <c r="P309" s="69">
        <f t="shared" si="133"/>
        <v>0</v>
      </c>
      <c r="Q309" s="216">
        <f t="shared" si="133"/>
        <v>-516060</v>
      </c>
      <c r="R309" s="216">
        <f t="shared" si="133"/>
        <v>0</v>
      </c>
      <c r="S309" s="216">
        <f t="shared" si="133"/>
        <v>516060</v>
      </c>
      <c r="T309" s="68">
        <f t="shared" si="133"/>
        <v>1202312</v>
      </c>
      <c r="U309" s="69">
        <f t="shared" si="133"/>
        <v>0</v>
      </c>
      <c r="V309" s="215">
        <f t="shared" si="133"/>
        <v>0</v>
      </c>
      <c r="W309" s="216">
        <f t="shared" si="133"/>
        <v>516060</v>
      </c>
      <c r="X309" s="216">
        <f t="shared" si="134"/>
        <v>516060</v>
      </c>
      <c r="Y309" s="215">
        <f t="shared" si="134"/>
        <v>0</v>
      </c>
      <c r="Z309" s="216">
        <f t="shared" si="134"/>
        <v>516060</v>
      </c>
    </row>
    <row r="310" spans="1:26" x14ac:dyDescent="0.2">
      <c r="A310" s="304"/>
      <c r="B310" s="500" t="s">
        <v>22</v>
      </c>
      <c r="C310" s="72" t="s">
        <v>1</v>
      </c>
      <c r="D310" s="66" t="s">
        <v>135</v>
      </c>
      <c r="E310" s="66" t="s">
        <v>135</v>
      </c>
      <c r="F310" s="66" t="s">
        <v>135</v>
      </c>
      <c r="G310" s="74" t="s">
        <v>399</v>
      </c>
      <c r="H310" s="67" t="s">
        <v>135</v>
      </c>
      <c r="I310" s="214" t="s">
        <v>23</v>
      </c>
      <c r="J310" s="68">
        <f>604444+604444</f>
        <v>1208888</v>
      </c>
      <c r="K310" s="69">
        <v>0</v>
      </c>
      <c r="L310" s="502">
        <f>601156+601156</f>
        <v>1202312</v>
      </c>
      <c r="M310" s="69">
        <v>0</v>
      </c>
      <c r="N310" s="216">
        <v>516060</v>
      </c>
      <c r="O310" s="68">
        <f>601156+601156</f>
        <v>1202312</v>
      </c>
      <c r="P310" s="69">
        <v>0</v>
      </c>
      <c r="Q310" s="216">
        <v>-516060</v>
      </c>
      <c r="R310" s="216">
        <f>Q310+N310</f>
        <v>0</v>
      </c>
      <c r="S310" s="217">
        <v>516060</v>
      </c>
      <c r="T310" s="68">
        <f>601156+601156</f>
        <v>1202312</v>
      </c>
      <c r="U310" s="69">
        <v>0</v>
      </c>
      <c r="V310" s="215">
        <v>0</v>
      </c>
      <c r="W310" s="216">
        <f>S310</f>
        <v>516060</v>
      </c>
      <c r="X310" s="216">
        <v>516060</v>
      </c>
      <c r="Y310" s="215">
        <v>0</v>
      </c>
      <c r="Z310" s="216">
        <f>X310</f>
        <v>516060</v>
      </c>
    </row>
    <row r="311" spans="1:26" ht="63.75" x14ac:dyDescent="0.2">
      <c r="A311" s="304"/>
      <c r="B311" s="469" t="s">
        <v>429</v>
      </c>
      <c r="C311" s="117" t="s">
        <v>1</v>
      </c>
      <c r="D311" s="66" t="s">
        <v>135</v>
      </c>
      <c r="E311" s="66" t="s">
        <v>135</v>
      </c>
      <c r="F311" s="66" t="s">
        <v>135</v>
      </c>
      <c r="G311" s="74" t="s">
        <v>428</v>
      </c>
      <c r="H311" s="67" t="s">
        <v>135</v>
      </c>
      <c r="I311" s="214"/>
      <c r="J311" s="64">
        <f t="shared" ref="J311:Z312" si="135">J312</f>
        <v>297000</v>
      </c>
      <c r="K311" s="65">
        <f t="shared" si="135"/>
        <v>0</v>
      </c>
      <c r="L311" s="224">
        <f t="shared" si="135"/>
        <v>378116.54</v>
      </c>
      <c r="M311" s="223">
        <f t="shared" si="135"/>
        <v>0</v>
      </c>
      <c r="N311" s="224">
        <f t="shared" si="135"/>
        <v>174428</v>
      </c>
      <c r="O311" s="64">
        <f t="shared" si="135"/>
        <v>393249.8</v>
      </c>
      <c r="P311" s="223">
        <f t="shared" si="135"/>
        <v>0</v>
      </c>
      <c r="Q311" s="224">
        <f t="shared" si="135"/>
        <v>2317400</v>
      </c>
      <c r="R311" s="224">
        <f t="shared" si="135"/>
        <v>2491828</v>
      </c>
      <c r="S311" s="225">
        <f t="shared" si="135"/>
        <v>0</v>
      </c>
      <c r="T311" s="225">
        <f t="shared" si="135"/>
        <v>408919.68</v>
      </c>
      <c r="U311" s="223">
        <f t="shared" si="135"/>
        <v>0</v>
      </c>
      <c r="V311" s="223">
        <f t="shared" si="135"/>
        <v>2317400</v>
      </c>
      <c r="W311" s="224">
        <f>W312</f>
        <v>2317400</v>
      </c>
      <c r="X311" s="224">
        <f t="shared" si="135"/>
        <v>0</v>
      </c>
      <c r="Y311" s="223">
        <f t="shared" si="135"/>
        <v>2317400</v>
      </c>
      <c r="Z311" s="224">
        <f t="shared" si="135"/>
        <v>2317400</v>
      </c>
    </row>
    <row r="312" spans="1:26" ht="25.5" x14ac:dyDescent="0.2">
      <c r="A312" s="304"/>
      <c r="B312" s="212" t="s">
        <v>21</v>
      </c>
      <c r="C312" s="117" t="s">
        <v>1</v>
      </c>
      <c r="D312" s="66" t="s">
        <v>135</v>
      </c>
      <c r="E312" s="66" t="s">
        <v>135</v>
      </c>
      <c r="F312" s="66" t="s">
        <v>135</v>
      </c>
      <c r="G312" s="74" t="s">
        <v>428</v>
      </c>
      <c r="H312" s="67" t="s">
        <v>135</v>
      </c>
      <c r="I312" s="309" t="s">
        <v>149</v>
      </c>
      <c r="J312" s="64">
        <f t="shared" si="135"/>
        <v>297000</v>
      </c>
      <c r="K312" s="65">
        <f t="shared" si="135"/>
        <v>0</v>
      </c>
      <c r="L312" s="224">
        <f t="shared" si="135"/>
        <v>378116.54</v>
      </c>
      <c r="M312" s="224">
        <f t="shared" si="135"/>
        <v>0</v>
      </c>
      <c r="N312" s="224">
        <f t="shared" si="135"/>
        <v>174428</v>
      </c>
      <c r="O312" s="223">
        <f t="shared" si="135"/>
        <v>393249.8</v>
      </c>
      <c r="P312" s="223">
        <f t="shared" si="135"/>
        <v>0</v>
      </c>
      <c r="Q312" s="224">
        <f t="shared" si="135"/>
        <v>2317400</v>
      </c>
      <c r="R312" s="224">
        <f t="shared" si="135"/>
        <v>2491828</v>
      </c>
      <c r="S312" s="225">
        <f t="shared" si="135"/>
        <v>0</v>
      </c>
      <c r="T312" s="224">
        <f t="shared" si="135"/>
        <v>408919.68</v>
      </c>
      <c r="U312" s="223">
        <f t="shared" si="135"/>
        <v>0</v>
      </c>
      <c r="V312" s="224">
        <f t="shared" si="135"/>
        <v>2317400</v>
      </c>
      <c r="W312" s="225">
        <f t="shared" si="135"/>
        <v>2317400</v>
      </c>
      <c r="X312" s="224">
        <f t="shared" si="135"/>
        <v>0</v>
      </c>
      <c r="Y312" s="223">
        <f t="shared" si="135"/>
        <v>2317400</v>
      </c>
      <c r="Z312" s="224">
        <f t="shared" si="135"/>
        <v>2317400</v>
      </c>
    </row>
    <row r="313" spans="1:26" x14ac:dyDescent="0.2">
      <c r="A313" s="304"/>
      <c r="B313" s="212" t="s">
        <v>22</v>
      </c>
      <c r="C313" s="117" t="s">
        <v>1</v>
      </c>
      <c r="D313" s="66" t="s">
        <v>135</v>
      </c>
      <c r="E313" s="66" t="s">
        <v>135</v>
      </c>
      <c r="F313" s="66" t="s">
        <v>135</v>
      </c>
      <c r="G313" s="74" t="s">
        <v>428</v>
      </c>
      <c r="H313" s="67" t="s">
        <v>135</v>
      </c>
      <c r="I313" s="309" t="s">
        <v>23</v>
      </c>
      <c r="J313" s="64">
        <f>148500+148500</f>
        <v>297000</v>
      </c>
      <c r="K313" s="65">
        <v>0</v>
      </c>
      <c r="L313" s="224">
        <f>189058.27+189058.27</f>
        <v>378116.54</v>
      </c>
      <c r="M313" s="224">
        <v>0</v>
      </c>
      <c r="N313" s="224">
        <v>174428</v>
      </c>
      <c r="O313" s="223">
        <f>196624.9+196624.9</f>
        <v>393249.8</v>
      </c>
      <c r="P313" s="223">
        <v>0</v>
      </c>
      <c r="Q313" s="224">
        <v>2317400</v>
      </c>
      <c r="R313" s="224">
        <f>Q313+N312</f>
        <v>2491828</v>
      </c>
      <c r="S313" s="225">
        <v>0</v>
      </c>
      <c r="T313" s="224">
        <f>204459.84+204459.84</f>
        <v>408919.68</v>
      </c>
      <c r="U313" s="223">
        <v>0</v>
      </c>
      <c r="V313" s="224">
        <v>2317400</v>
      </c>
      <c r="W313" s="225">
        <f>V313</f>
        <v>2317400</v>
      </c>
      <c r="X313" s="224">
        <v>0</v>
      </c>
      <c r="Y313" s="223">
        <v>2317400</v>
      </c>
      <c r="Z313" s="224">
        <f>Y313</f>
        <v>2317400</v>
      </c>
    </row>
    <row r="314" spans="1:26" ht="51" x14ac:dyDescent="0.2">
      <c r="A314" s="304"/>
      <c r="B314" s="501" t="s">
        <v>413</v>
      </c>
      <c r="C314" s="66" t="s">
        <v>1</v>
      </c>
      <c r="D314" s="66" t="s">
        <v>135</v>
      </c>
      <c r="E314" s="66" t="s">
        <v>135</v>
      </c>
      <c r="F314" s="66" t="s">
        <v>135</v>
      </c>
      <c r="G314" s="66" t="s">
        <v>412</v>
      </c>
      <c r="H314" s="67" t="s">
        <v>135</v>
      </c>
      <c r="I314" s="214"/>
      <c r="J314" s="68"/>
      <c r="K314" s="69"/>
      <c r="L314" s="502">
        <f t="shared" ref="L314:Z315" si="136">L315</f>
        <v>344827.8</v>
      </c>
      <c r="M314" s="69">
        <f t="shared" si="136"/>
        <v>0</v>
      </c>
      <c r="N314" s="216">
        <f t="shared" si="136"/>
        <v>103448.34</v>
      </c>
      <c r="O314" s="68">
        <f t="shared" si="136"/>
        <v>0</v>
      </c>
      <c r="P314" s="69">
        <f t="shared" si="136"/>
        <v>0</v>
      </c>
      <c r="Q314" s="215">
        <f t="shared" si="136"/>
        <v>241379.46</v>
      </c>
      <c r="R314" s="216">
        <f t="shared" si="136"/>
        <v>344827.8</v>
      </c>
      <c r="S314" s="217">
        <f t="shared" si="136"/>
        <v>0</v>
      </c>
      <c r="T314" s="498">
        <f t="shared" si="136"/>
        <v>0</v>
      </c>
      <c r="U314" s="215"/>
      <c r="V314" s="216">
        <f t="shared" si="136"/>
        <v>186373.92</v>
      </c>
      <c r="W314" s="216">
        <f t="shared" si="136"/>
        <v>186373.92</v>
      </c>
      <c r="X314" s="216">
        <f t="shared" si="136"/>
        <v>0</v>
      </c>
      <c r="Y314" s="215">
        <f t="shared" si="136"/>
        <v>186373.92</v>
      </c>
      <c r="Z314" s="216">
        <f t="shared" si="136"/>
        <v>186373.92</v>
      </c>
    </row>
    <row r="315" spans="1:26" x14ac:dyDescent="0.2">
      <c r="A315" s="304"/>
      <c r="B315" s="500" t="s">
        <v>56</v>
      </c>
      <c r="C315" s="66" t="s">
        <v>1</v>
      </c>
      <c r="D315" s="66" t="s">
        <v>135</v>
      </c>
      <c r="E315" s="66" t="s">
        <v>135</v>
      </c>
      <c r="F315" s="66" t="s">
        <v>135</v>
      </c>
      <c r="G315" s="66" t="s">
        <v>412</v>
      </c>
      <c r="H315" s="67" t="s">
        <v>135</v>
      </c>
      <c r="I315" s="214" t="s">
        <v>57</v>
      </c>
      <c r="J315" s="68"/>
      <c r="K315" s="69"/>
      <c r="L315" s="502">
        <f t="shared" si="136"/>
        <v>344827.8</v>
      </c>
      <c r="M315" s="69">
        <f t="shared" si="136"/>
        <v>0</v>
      </c>
      <c r="N315" s="216">
        <f t="shared" si="136"/>
        <v>103448.34</v>
      </c>
      <c r="O315" s="68">
        <f t="shared" si="136"/>
        <v>0</v>
      </c>
      <c r="P315" s="69">
        <f t="shared" si="136"/>
        <v>0</v>
      </c>
      <c r="Q315" s="215">
        <f t="shared" si="136"/>
        <v>241379.46</v>
      </c>
      <c r="R315" s="216">
        <f t="shared" si="136"/>
        <v>344827.8</v>
      </c>
      <c r="S315" s="217">
        <f t="shared" si="136"/>
        <v>0</v>
      </c>
      <c r="T315" s="498">
        <f t="shared" si="136"/>
        <v>0</v>
      </c>
      <c r="U315" s="215"/>
      <c r="V315" s="216">
        <f t="shared" si="136"/>
        <v>186373.92</v>
      </c>
      <c r="W315" s="216">
        <f t="shared" si="136"/>
        <v>186373.92</v>
      </c>
      <c r="X315" s="216">
        <f t="shared" si="136"/>
        <v>0</v>
      </c>
      <c r="Y315" s="215">
        <f t="shared" si="136"/>
        <v>186373.92</v>
      </c>
      <c r="Z315" s="216">
        <f t="shared" si="136"/>
        <v>186373.92</v>
      </c>
    </row>
    <row r="316" spans="1:26" x14ac:dyDescent="0.2">
      <c r="A316" s="304"/>
      <c r="B316" s="500" t="s">
        <v>377</v>
      </c>
      <c r="C316" s="66" t="s">
        <v>1</v>
      </c>
      <c r="D316" s="66" t="s">
        <v>135</v>
      </c>
      <c r="E316" s="66" t="s">
        <v>135</v>
      </c>
      <c r="F316" s="66" t="s">
        <v>135</v>
      </c>
      <c r="G316" s="66" t="s">
        <v>412</v>
      </c>
      <c r="H316" s="67" t="s">
        <v>135</v>
      </c>
      <c r="I316" s="214" t="s">
        <v>376</v>
      </c>
      <c r="J316" s="68"/>
      <c r="K316" s="69"/>
      <c r="L316" s="502">
        <v>344827.8</v>
      </c>
      <c r="M316" s="69">
        <v>0</v>
      </c>
      <c r="N316" s="216">
        <v>103448.34</v>
      </c>
      <c r="O316" s="68">
        <v>0</v>
      </c>
      <c r="P316" s="69">
        <v>0</v>
      </c>
      <c r="Q316" s="215">
        <v>241379.46</v>
      </c>
      <c r="R316" s="216">
        <f>Q316+N316</f>
        <v>344827.8</v>
      </c>
      <c r="S316" s="217">
        <v>0</v>
      </c>
      <c r="T316" s="498">
        <v>0</v>
      </c>
      <c r="U316" s="215"/>
      <c r="V316" s="216">
        <v>186373.92</v>
      </c>
      <c r="W316" s="216">
        <f>V316</f>
        <v>186373.92</v>
      </c>
      <c r="X316" s="216">
        <v>0</v>
      </c>
      <c r="Y316" s="215">
        <v>186373.92</v>
      </c>
      <c r="Z316" s="216">
        <f>Y316</f>
        <v>186373.92</v>
      </c>
    </row>
    <row r="317" spans="1:26" ht="89.25" x14ac:dyDescent="0.2">
      <c r="A317" s="304"/>
      <c r="B317" s="501" t="s">
        <v>452</v>
      </c>
      <c r="C317" s="77" t="s">
        <v>1</v>
      </c>
      <c r="D317" s="82" t="s">
        <v>135</v>
      </c>
      <c r="E317" s="66" t="s">
        <v>135</v>
      </c>
      <c r="F317" s="66" t="s">
        <v>135</v>
      </c>
      <c r="G317" s="71" t="s">
        <v>449</v>
      </c>
      <c r="H317" s="67" t="s">
        <v>135</v>
      </c>
      <c r="I317" s="208"/>
      <c r="J317" s="68"/>
      <c r="K317" s="69"/>
      <c r="L317" s="68"/>
      <c r="M317" s="68"/>
      <c r="N317" s="216">
        <f t="shared" ref="N317:Z318" si="137">N318</f>
        <v>0</v>
      </c>
      <c r="O317" s="498">
        <f t="shared" si="137"/>
        <v>0</v>
      </c>
      <c r="P317" s="69">
        <f t="shared" si="137"/>
        <v>0</v>
      </c>
      <c r="Q317" s="215">
        <f t="shared" si="137"/>
        <v>16881720.43</v>
      </c>
      <c r="R317" s="216">
        <f t="shared" si="137"/>
        <v>16881720.43</v>
      </c>
      <c r="S317" s="217">
        <f t="shared" si="137"/>
        <v>0</v>
      </c>
      <c r="T317" s="498">
        <f t="shared" si="137"/>
        <v>0</v>
      </c>
      <c r="U317" s="215"/>
      <c r="V317" s="216">
        <f t="shared" si="137"/>
        <v>0</v>
      </c>
      <c r="W317" s="216">
        <f t="shared" si="137"/>
        <v>0</v>
      </c>
      <c r="X317" s="216">
        <f t="shared" si="137"/>
        <v>0</v>
      </c>
      <c r="Y317" s="215">
        <f t="shared" si="137"/>
        <v>0</v>
      </c>
      <c r="Z317" s="216">
        <f t="shared" si="137"/>
        <v>0</v>
      </c>
    </row>
    <row r="318" spans="1:26" ht="25.5" x14ac:dyDescent="0.2">
      <c r="A318" s="304"/>
      <c r="B318" s="212" t="s">
        <v>21</v>
      </c>
      <c r="C318" s="77" t="s">
        <v>1</v>
      </c>
      <c r="D318" s="82" t="s">
        <v>135</v>
      </c>
      <c r="E318" s="66" t="s">
        <v>135</v>
      </c>
      <c r="F318" s="66" t="s">
        <v>135</v>
      </c>
      <c r="G318" s="71" t="s">
        <v>449</v>
      </c>
      <c r="H318" s="67" t="s">
        <v>135</v>
      </c>
      <c r="I318" s="208" t="s">
        <v>149</v>
      </c>
      <c r="J318" s="68"/>
      <c r="K318" s="69"/>
      <c r="L318" s="68"/>
      <c r="M318" s="68"/>
      <c r="N318" s="216">
        <f t="shared" si="137"/>
        <v>0</v>
      </c>
      <c r="O318" s="498">
        <f t="shared" si="137"/>
        <v>0</v>
      </c>
      <c r="P318" s="69">
        <f t="shared" si="137"/>
        <v>0</v>
      </c>
      <c r="Q318" s="215">
        <f t="shared" si="137"/>
        <v>16881720.43</v>
      </c>
      <c r="R318" s="216">
        <f t="shared" si="137"/>
        <v>16881720.43</v>
      </c>
      <c r="S318" s="217">
        <f t="shared" si="137"/>
        <v>0</v>
      </c>
      <c r="T318" s="498">
        <f t="shared" si="137"/>
        <v>0</v>
      </c>
      <c r="U318" s="215"/>
      <c r="V318" s="216">
        <f t="shared" si="137"/>
        <v>0</v>
      </c>
      <c r="W318" s="216">
        <f t="shared" si="137"/>
        <v>0</v>
      </c>
      <c r="X318" s="216">
        <f t="shared" si="137"/>
        <v>0</v>
      </c>
      <c r="Y318" s="215">
        <f t="shared" si="137"/>
        <v>0</v>
      </c>
      <c r="Z318" s="216">
        <f t="shared" si="137"/>
        <v>0</v>
      </c>
    </row>
    <row r="319" spans="1:26" x14ac:dyDescent="0.2">
      <c r="A319" s="304"/>
      <c r="B319" s="212" t="s">
        <v>22</v>
      </c>
      <c r="C319" s="77" t="s">
        <v>1</v>
      </c>
      <c r="D319" s="82" t="s">
        <v>135</v>
      </c>
      <c r="E319" s="66" t="s">
        <v>135</v>
      </c>
      <c r="F319" s="66" t="s">
        <v>135</v>
      </c>
      <c r="G319" s="71" t="s">
        <v>449</v>
      </c>
      <c r="H319" s="67" t="s">
        <v>135</v>
      </c>
      <c r="I319" s="208" t="s">
        <v>23</v>
      </c>
      <c r="J319" s="68"/>
      <c r="K319" s="69"/>
      <c r="L319" s="68"/>
      <c r="M319" s="68"/>
      <c r="N319" s="216">
        <v>0</v>
      </c>
      <c r="O319" s="498">
        <v>0</v>
      </c>
      <c r="P319" s="69">
        <v>0</v>
      </c>
      <c r="Q319" s="215">
        <f>15700000+1181720.43</f>
        <v>16881720.43</v>
      </c>
      <c r="R319" s="216">
        <f>Q319</f>
        <v>16881720.43</v>
      </c>
      <c r="S319" s="217">
        <v>0</v>
      </c>
      <c r="T319" s="498">
        <v>0</v>
      </c>
      <c r="U319" s="215"/>
      <c r="V319" s="216">
        <v>0</v>
      </c>
      <c r="W319" s="216">
        <v>0</v>
      </c>
      <c r="X319" s="216">
        <v>0</v>
      </c>
      <c r="Y319" s="215">
        <v>0</v>
      </c>
      <c r="Z319" s="216">
        <v>0</v>
      </c>
    </row>
    <row r="320" spans="1:26" ht="63.75" x14ac:dyDescent="0.2">
      <c r="A320" s="304"/>
      <c r="B320" s="469" t="s">
        <v>296</v>
      </c>
      <c r="C320" s="72" t="s">
        <v>1</v>
      </c>
      <c r="D320" s="66" t="s">
        <v>135</v>
      </c>
      <c r="E320" s="66" t="s">
        <v>135</v>
      </c>
      <c r="F320" s="66" t="s">
        <v>135</v>
      </c>
      <c r="G320" s="74" t="s">
        <v>164</v>
      </c>
      <c r="H320" s="67" t="s">
        <v>135</v>
      </c>
      <c r="I320" s="214"/>
      <c r="J320" s="118">
        <f t="shared" ref="J320:Y321" si="138">J321</f>
        <v>297000</v>
      </c>
      <c r="K320" s="209">
        <f t="shared" si="138"/>
        <v>0</v>
      </c>
      <c r="L320" s="210">
        <f t="shared" si="138"/>
        <v>378116.54</v>
      </c>
      <c r="M320" s="210">
        <f t="shared" si="138"/>
        <v>0</v>
      </c>
      <c r="N320" s="210">
        <f t="shared" si="138"/>
        <v>378116.54</v>
      </c>
      <c r="O320" s="210">
        <f t="shared" si="138"/>
        <v>393249.8</v>
      </c>
      <c r="P320" s="210">
        <f t="shared" si="138"/>
        <v>0</v>
      </c>
      <c r="Q320" s="210">
        <f t="shared" si="138"/>
        <v>0</v>
      </c>
      <c r="R320" s="210">
        <f t="shared" si="138"/>
        <v>378116.54</v>
      </c>
      <c r="S320" s="211">
        <f t="shared" si="138"/>
        <v>393249.8</v>
      </c>
      <c r="T320" s="211">
        <f t="shared" si="138"/>
        <v>408919.68</v>
      </c>
      <c r="U320" s="211">
        <f t="shared" si="138"/>
        <v>0</v>
      </c>
      <c r="V320" s="210">
        <f t="shared" si="138"/>
        <v>0</v>
      </c>
      <c r="W320" s="211">
        <f t="shared" si="138"/>
        <v>393249.8</v>
      </c>
      <c r="X320" s="211">
        <f t="shared" si="138"/>
        <v>408919.68</v>
      </c>
      <c r="Y320" s="118">
        <f t="shared" si="138"/>
        <v>0</v>
      </c>
      <c r="Z320" s="210">
        <f>Z321</f>
        <v>408919.68</v>
      </c>
    </row>
    <row r="321" spans="1:26" ht="25.5" x14ac:dyDescent="0.2">
      <c r="A321" s="304"/>
      <c r="B321" s="362" t="s">
        <v>21</v>
      </c>
      <c r="C321" s="72" t="s">
        <v>1</v>
      </c>
      <c r="D321" s="66" t="s">
        <v>135</v>
      </c>
      <c r="E321" s="66" t="s">
        <v>135</v>
      </c>
      <c r="F321" s="66" t="s">
        <v>135</v>
      </c>
      <c r="G321" s="74" t="s">
        <v>164</v>
      </c>
      <c r="H321" s="67" t="s">
        <v>135</v>
      </c>
      <c r="I321" s="214" t="s">
        <v>149</v>
      </c>
      <c r="J321" s="118">
        <f t="shared" si="138"/>
        <v>297000</v>
      </c>
      <c r="K321" s="209">
        <f t="shared" si="138"/>
        <v>0</v>
      </c>
      <c r="L321" s="210">
        <f t="shared" si="138"/>
        <v>378116.54</v>
      </c>
      <c r="M321" s="210">
        <f t="shared" si="138"/>
        <v>0</v>
      </c>
      <c r="N321" s="210">
        <f t="shared" si="138"/>
        <v>378116.54</v>
      </c>
      <c r="O321" s="210">
        <f t="shared" si="138"/>
        <v>393249.8</v>
      </c>
      <c r="P321" s="210">
        <f t="shared" si="138"/>
        <v>0</v>
      </c>
      <c r="Q321" s="210">
        <f t="shared" si="138"/>
        <v>0</v>
      </c>
      <c r="R321" s="210">
        <f t="shared" si="138"/>
        <v>378116.54</v>
      </c>
      <c r="S321" s="210">
        <f t="shared" si="138"/>
        <v>393249.8</v>
      </c>
      <c r="T321" s="211">
        <f t="shared" si="138"/>
        <v>408919.68</v>
      </c>
      <c r="U321" s="211">
        <f t="shared" si="138"/>
        <v>0</v>
      </c>
      <c r="V321" s="210">
        <f t="shared" si="138"/>
        <v>0</v>
      </c>
      <c r="W321" s="210">
        <f t="shared" si="138"/>
        <v>393249.8</v>
      </c>
      <c r="X321" s="211">
        <f t="shared" si="138"/>
        <v>408919.68</v>
      </c>
      <c r="Y321" s="118">
        <f>Y322</f>
        <v>0</v>
      </c>
      <c r="Z321" s="210">
        <f>Z322</f>
        <v>408919.68</v>
      </c>
    </row>
    <row r="322" spans="1:26" x14ac:dyDescent="0.2">
      <c r="A322" s="304"/>
      <c r="B322" s="362" t="s">
        <v>22</v>
      </c>
      <c r="C322" s="72" t="s">
        <v>1</v>
      </c>
      <c r="D322" s="66" t="s">
        <v>135</v>
      </c>
      <c r="E322" s="66" t="s">
        <v>135</v>
      </c>
      <c r="F322" s="66" t="s">
        <v>135</v>
      </c>
      <c r="G322" s="74" t="s">
        <v>164</v>
      </c>
      <c r="H322" s="67" t="s">
        <v>135</v>
      </c>
      <c r="I322" s="214" t="s">
        <v>23</v>
      </c>
      <c r="J322" s="118">
        <f>148500+148500</f>
        <v>297000</v>
      </c>
      <c r="K322" s="209">
        <v>0</v>
      </c>
      <c r="L322" s="224">
        <f>189058.27+189058.27</f>
        <v>378116.54</v>
      </c>
      <c r="M322" s="224">
        <v>0</v>
      </c>
      <c r="N322" s="224">
        <f>189058.27+189058.27</f>
        <v>378116.54</v>
      </c>
      <c r="O322" s="224">
        <f>196624.9+196624.9</f>
        <v>393249.8</v>
      </c>
      <c r="P322" s="224">
        <v>0</v>
      </c>
      <c r="Q322" s="224">
        <v>0</v>
      </c>
      <c r="R322" s="224">
        <f>189058.27+189058.27</f>
        <v>378116.54</v>
      </c>
      <c r="S322" s="224">
        <f>196624.9+196624.9</f>
        <v>393249.8</v>
      </c>
      <c r="T322" s="225">
        <f>204459.84+204459.84</f>
        <v>408919.68</v>
      </c>
      <c r="U322" s="225">
        <v>0</v>
      </c>
      <c r="V322" s="224">
        <v>0</v>
      </c>
      <c r="W322" s="224">
        <f>196624.9+196624.9</f>
        <v>393249.8</v>
      </c>
      <c r="X322" s="225">
        <f>204459.84+204459.84</f>
        <v>408919.68</v>
      </c>
      <c r="Y322" s="64">
        <v>0</v>
      </c>
      <c r="Z322" s="224">
        <f>204459.84+204459.84</f>
        <v>408919.68</v>
      </c>
    </row>
    <row r="323" spans="1:26" ht="127.5" x14ac:dyDescent="0.2">
      <c r="A323" s="304"/>
      <c r="B323" s="501" t="s">
        <v>444</v>
      </c>
      <c r="C323" s="103" t="s">
        <v>1</v>
      </c>
      <c r="D323" s="70" t="s">
        <v>135</v>
      </c>
      <c r="E323" s="66" t="s">
        <v>402</v>
      </c>
      <c r="F323" s="66" t="s">
        <v>133</v>
      </c>
      <c r="G323" s="71" t="s">
        <v>440</v>
      </c>
      <c r="H323" s="67" t="s">
        <v>133</v>
      </c>
      <c r="I323" s="372"/>
      <c r="J323" s="64">
        <v>91300</v>
      </c>
      <c r="K323" s="65">
        <v>0</v>
      </c>
      <c r="L323" s="224">
        <v>257947</v>
      </c>
      <c r="M323" s="224">
        <v>-125697</v>
      </c>
      <c r="N323" s="224">
        <f>N324</f>
        <v>0</v>
      </c>
      <c r="O323" s="223">
        <v>265855</v>
      </c>
      <c r="P323" s="224">
        <v>-129174</v>
      </c>
      <c r="Q323" s="224">
        <f>Q324</f>
        <v>368640.8</v>
      </c>
      <c r="R323" s="224">
        <f>R324</f>
        <v>368640.8</v>
      </c>
      <c r="S323" s="224">
        <f>S324</f>
        <v>0</v>
      </c>
      <c r="T323" s="223">
        <v>265855</v>
      </c>
      <c r="U323" s="224">
        <v>-129174</v>
      </c>
      <c r="V323" s="224">
        <f>V324</f>
        <v>0</v>
      </c>
      <c r="W323" s="224">
        <f>W324</f>
        <v>0</v>
      </c>
      <c r="X323" s="224">
        <f t="shared" ref="X323:Z323" si="139">X324</f>
        <v>0</v>
      </c>
      <c r="Y323" s="223">
        <f t="shared" si="139"/>
        <v>0</v>
      </c>
      <c r="Z323" s="224">
        <f t="shared" si="139"/>
        <v>0</v>
      </c>
    </row>
    <row r="324" spans="1:26" ht="25.5" x14ac:dyDescent="0.2">
      <c r="A324" s="304"/>
      <c r="B324" s="362" t="s">
        <v>21</v>
      </c>
      <c r="C324" s="103" t="s">
        <v>1</v>
      </c>
      <c r="D324" s="70" t="s">
        <v>135</v>
      </c>
      <c r="E324" s="66" t="s">
        <v>402</v>
      </c>
      <c r="F324" s="66" t="s">
        <v>133</v>
      </c>
      <c r="G324" s="71" t="s">
        <v>440</v>
      </c>
      <c r="H324" s="67" t="s">
        <v>133</v>
      </c>
      <c r="I324" s="372" t="s">
        <v>149</v>
      </c>
      <c r="J324" s="64">
        <f t="shared" ref="J324:Z324" si="140">J325</f>
        <v>90974</v>
      </c>
      <c r="K324" s="65">
        <f t="shared" si="140"/>
        <v>0.08</v>
      </c>
      <c r="L324" s="224">
        <f t="shared" si="140"/>
        <v>257948</v>
      </c>
      <c r="M324" s="224">
        <f t="shared" si="140"/>
        <v>-125698</v>
      </c>
      <c r="N324" s="224">
        <f t="shared" si="140"/>
        <v>0</v>
      </c>
      <c r="O324" s="223">
        <f t="shared" si="140"/>
        <v>265857</v>
      </c>
      <c r="P324" s="224">
        <f t="shared" si="140"/>
        <v>-129174</v>
      </c>
      <c r="Q324" s="224">
        <f>Q325</f>
        <v>368640.8</v>
      </c>
      <c r="R324" s="224">
        <f t="shared" si="140"/>
        <v>368640.8</v>
      </c>
      <c r="S324" s="224">
        <f t="shared" si="140"/>
        <v>0</v>
      </c>
      <c r="T324" s="223">
        <f t="shared" si="140"/>
        <v>265857</v>
      </c>
      <c r="U324" s="224">
        <f t="shared" si="140"/>
        <v>-129174</v>
      </c>
      <c r="V324" s="224">
        <f>V325</f>
        <v>0</v>
      </c>
      <c r="W324" s="224">
        <f t="shared" si="140"/>
        <v>0</v>
      </c>
      <c r="X324" s="224">
        <f t="shared" si="140"/>
        <v>0</v>
      </c>
      <c r="Y324" s="223">
        <f t="shared" si="140"/>
        <v>0</v>
      </c>
      <c r="Z324" s="224">
        <f t="shared" si="140"/>
        <v>0</v>
      </c>
    </row>
    <row r="325" spans="1:26" x14ac:dyDescent="0.2">
      <c r="A325" s="304"/>
      <c r="B325" s="362" t="s">
        <v>22</v>
      </c>
      <c r="C325" s="103" t="s">
        <v>1</v>
      </c>
      <c r="D325" s="70" t="s">
        <v>135</v>
      </c>
      <c r="E325" s="66" t="s">
        <v>402</v>
      </c>
      <c r="F325" s="66" t="s">
        <v>133</v>
      </c>
      <c r="G325" s="71" t="s">
        <v>440</v>
      </c>
      <c r="H325" s="67" t="s">
        <v>133</v>
      </c>
      <c r="I325" s="372" t="s">
        <v>23</v>
      </c>
      <c r="J325" s="64">
        <v>90974</v>
      </c>
      <c r="K325" s="65">
        <v>0.08</v>
      </c>
      <c r="L325" s="224">
        <v>257948</v>
      </c>
      <c r="M325" s="224">
        <v>-125698</v>
      </c>
      <c r="N325" s="224">
        <v>0</v>
      </c>
      <c r="O325" s="223">
        <v>265857</v>
      </c>
      <c r="P325" s="224">
        <v>-129174</v>
      </c>
      <c r="Q325" s="224">
        <v>368640.8</v>
      </c>
      <c r="R325" s="224">
        <f>Q325</f>
        <v>368640.8</v>
      </c>
      <c r="S325" s="224">
        <v>0</v>
      </c>
      <c r="T325" s="223">
        <v>265857</v>
      </c>
      <c r="U325" s="224">
        <v>-129174</v>
      </c>
      <c r="V325" s="224">
        <v>0</v>
      </c>
      <c r="W325" s="224">
        <f>V325</f>
        <v>0</v>
      </c>
      <c r="X325" s="224">
        <f t="shared" ref="X325:Z325" si="141">W325</f>
        <v>0</v>
      </c>
      <c r="Y325" s="223">
        <f t="shared" si="141"/>
        <v>0</v>
      </c>
      <c r="Z325" s="224">
        <f t="shared" si="141"/>
        <v>0</v>
      </c>
    </row>
    <row r="326" spans="1:26" ht="76.5" x14ac:dyDescent="0.2">
      <c r="A326" s="304"/>
      <c r="B326" s="513" t="s">
        <v>414</v>
      </c>
      <c r="C326" s="66" t="s">
        <v>1</v>
      </c>
      <c r="D326" s="66" t="s">
        <v>135</v>
      </c>
      <c r="E326" s="66" t="s">
        <v>402</v>
      </c>
      <c r="F326" s="66" t="s">
        <v>403</v>
      </c>
      <c r="G326" s="66" t="s">
        <v>404</v>
      </c>
      <c r="H326" s="67" t="s">
        <v>133</v>
      </c>
      <c r="I326" s="214"/>
      <c r="J326" s="68">
        <f t="shared" ref="J326:T327" si="142">J327</f>
        <v>0</v>
      </c>
      <c r="K326" s="69">
        <f t="shared" si="142"/>
        <v>0</v>
      </c>
      <c r="L326" s="502">
        <f t="shared" si="142"/>
        <v>0</v>
      </c>
      <c r="M326" s="69">
        <f t="shared" si="142"/>
        <v>675816.12</v>
      </c>
      <c r="N326" s="216">
        <f t="shared" si="142"/>
        <v>3997244.16</v>
      </c>
      <c r="O326" s="68">
        <f t="shared" si="142"/>
        <v>0</v>
      </c>
      <c r="P326" s="69">
        <f t="shared" si="142"/>
        <v>4396968.58</v>
      </c>
      <c r="Q326" s="216">
        <f t="shared" si="142"/>
        <v>0</v>
      </c>
      <c r="R326" s="216">
        <f t="shared" si="142"/>
        <v>3997244.16</v>
      </c>
      <c r="S326" s="217">
        <f t="shared" si="142"/>
        <v>3997244.16</v>
      </c>
      <c r="T326" s="498">
        <f t="shared" si="142"/>
        <v>3997244.16</v>
      </c>
      <c r="U326" s="215"/>
      <c r="V326" s="216">
        <f>V327</f>
        <v>0</v>
      </c>
      <c r="W326" s="216">
        <f>W327</f>
        <v>3997244.16</v>
      </c>
      <c r="X326" s="216">
        <f t="shared" ref="X326:Z327" si="143">X327</f>
        <v>4832268.84</v>
      </c>
      <c r="Y326" s="215">
        <f t="shared" si="143"/>
        <v>0</v>
      </c>
      <c r="Z326" s="216">
        <f t="shared" si="143"/>
        <v>4832268.84</v>
      </c>
    </row>
    <row r="327" spans="1:26" ht="25.5" x14ac:dyDescent="0.2">
      <c r="A327" s="304"/>
      <c r="B327" s="500" t="s">
        <v>21</v>
      </c>
      <c r="C327" s="66" t="s">
        <v>1</v>
      </c>
      <c r="D327" s="66" t="s">
        <v>135</v>
      </c>
      <c r="E327" s="66" t="s">
        <v>402</v>
      </c>
      <c r="F327" s="66" t="s">
        <v>403</v>
      </c>
      <c r="G327" s="66" t="s">
        <v>404</v>
      </c>
      <c r="H327" s="67" t="s">
        <v>133</v>
      </c>
      <c r="I327" s="214" t="s">
        <v>149</v>
      </c>
      <c r="J327" s="68">
        <f t="shared" si="142"/>
        <v>0</v>
      </c>
      <c r="K327" s="69">
        <f t="shared" si="142"/>
        <v>0</v>
      </c>
      <c r="L327" s="502">
        <f t="shared" si="142"/>
        <v>0</v>
      </c>
      <c r="M327" s="69">
        <f t="shared" si="142"/>
        <v>675816.12</v>
      </c>
      <c r="N327" s="216">
        <f t="shared" si="142"/>
        <v>3997244.16</v>
      </c>
      <c r="O327" s="68">
        <f t="shared" si="142"/>
        <v>0</v>
      </c>
      <c r="P327" s="69">
        <f t="shared" si="142"/>
        <v>4396968.58</v>
      </c>
      <c r="Q327" s="216">
        <f t="shared" si="142"/>
        <v>0</v>
      </c>
      <c r="R327" s="216">
        <f t="shared" si="142"/>
        <v>3997244.16</v>
      </c>
      <c r="S327" s="217">
        <f t="shared" si="142"/>
        <v>3997244.16</v>
      </c>
      <c r="T327" s="498">
        <f t="shared" si="142"/>
        <v>3997244.16</v>
      </c>
      <c r="U327" s="215"/>
      <c r="V327" s="216">
        <f>V328</f>
        <v>0</v>
      </c>
      <c r="W327" s="216">
        <f>W328</f>
        <v>3997244.16</v>
      </c>
      <c r="X327" s="216">
        <f t="shared" si="143"/>
        <v>4832268.84</v>
      </c>
      <c r="Y327" s="215">
        <f t="shared" si="143"/>
        <v>0</v>
      </c>
      <c r="Z327" s="216">
        <f t="shared" si="143"/>
        <v>4832268.84</v>
      </c>
    </row>
    <row r="328" spans="1:26" x14ac:dyDescent="0.2">
      <c r="A328" s="304"/>
      <c r="B328" s="500" t="s">
        <v>22</v>
      </c>
      <c r="C328" s="66" t="s">
        <v>1</v>
      </c>
      <c r="D328" s="66" t="s">
        <v>135</v>
      </c>
      <c r="E328" s="66" t="s">
        <v>402</v>
      </c>
      <c r="F328" s="66" t="s">
        <v>403</v>
      </c>
      <c r="G328" s="66" t="s">
        <v>404</v>
      </c>
      <c r="H328" s="67" t="s">
        <v>133</v>
      </c>
      <c r="I328" s="214" t="s">
        <v>23</v>
      </c>
      <c r="J328" s="68">
        <v>0</v>
      </c>
      <c r="K328" s="69">
        <v>0</v>
      </c>
      <c r="L328" s="502">
        <v>0</v>
      </c>
      <c r="M328" s="69">
        <v>675816.12</v>
      </c>
      <c r="N328" s="216">
        <v>3997244.16</v>
      </c>
      <c r="O328" s="68">
        <v>0</v>
      </c>
      <c r="P328" s="69">
        <v>4396968.58</v>
      </c>
      <c r="Q328" s="216">
        <v>0</v>
      </c>
      <c r="R328" s="216">
        <f>N328</f>
        <v>3997244.16</v>
      </c>
      <c r="S328" s="217">
        <v>3997244.16</v>
      </c>
      <c r="T328" s="498">
        <f>S328</f>
        <v>3997244.16</v>
      </c>
      <c r="U328" s="215"/>
      <c r="V328" s="216">
        <v>0</v>
      </c>
      <c r="W328" s="216">
        <v>3997244.16</v>
      </c>
      <c r="X328" s="216">
        <v>4832268.84</v>
      </c>
      <c r="Y328" s="215">
        <v>0</v>
      </c>
      <c r="Z328" s="216">
        <f>X328</f>
        <v>4832268.84</v>
      </c>
    </row>
    <row r="329" spans="1:26" x14ac:dyDescent="0.2">
      <c r="A329" s="304"/>
      <c r="B329" s="212"/>
      <c r="C329" s="117"/>
      <c r="D329" s="73"/>
      <c r="E329" s="66"/>
      <c r="F329" s="66"/>
      <c r="G329" s="74"/>
      <c r="H329" s="67"/>
      <c r="I329" s="372"/>
      <c r="J329" s="118"/>
      <c r="K329" s="209"/>
      <c r="L329" s="223"/>
      <c r="M329" s="223"/>
      <c r="N329" s="223"/>
      <c r="O329" s="223"/>
      <c r="P329" s="223"/>
      <c r="Q329" s="223"/>
      <c r="R329" s="223"/>
      <c r="S329" s="223"/>
      <c r="T329" s="223"/>
      <c r="U329" s="223"/>
      <c r="V329" s="223"/>
      <c r="W329" s="224"/>
      <c r="X329" s="225"/>
      <c r="Y329" s="64"/>
      <c r="Z329" s="224"/>
    </row>
    <row r="330" spans="1:26" x14ac:dyDescent="0.2">
      <c r="A330" s="304"/>
      <c r="B330" s="212"/>
      <c r="C330" s="117"/>
      <c r="D330" s="73"/>
      <c r="E330" s="66"/>
      <c r="F330" s="66"/>
      <c r="G330" s="74"/>
      <c r="H330" s="67"/>
      <c r="I330" s="372"/>
      <c r="J330" s="118"/>
      <c r="K330" s="209"/>
      <c r="L330" s="223"/>
      <c r="M330" s="223"/>
      <c r="N330" s="223"/>
      <c r="O330" s="223"/>
      <c r="P330" s="223"/>
      <c r="Q330" s="223"/>
      <c r="R330" s="223"/>
      <c r="S330" s="223"/>
      <c r="T330" s="223"/>
      <c r="U330" s="223"/>
      <c r="V330" s="223"/>
      <c r="W330" s="515"/>
      <c r="X330" s="225"/>
      <c r="Y330" s="64"/>
      <c r="Z330" s="224"/>
    </row>
    <row r="331" spans="1:26" ht="62.25" customHeight="1" x14ac:dyDescent="0.2">
      <c r="A331" s="304"/>
      <c r="B331" s="466" t="s">
        <v>328</v>
      </c>
      <c r="C331" s="333" t="s">
        <v>157</v>
      </c>
      <c r="D331" s="334" t="s">
        <v>135</v>
      </c>
      <c r="E331" s="253" t="s">
        <v>135</v>
      </c>
      <c r="F331" s="253" t="s">
        <v>135</v>
      </c>
      <c r="G331" s="334" t="s">
        <v>136</v>
      </c>
      <c r="H331" s="241" t="s">
        <v>135</v>
      </c>
      <c r="I331" s="335"/>
      <c r="J331" s="254" t="e">
        <f>J332+J337+J340+#REF!+#REF!</f>
        <v>#REF!</v>
      </c>
      <c r="K331" s="255" t="e">
        <f>K332+K337+K340+#REF!+#REF!</f>
        <v>#REF!</v>
      </c>
      <c r="L331" s="255">
        <f>L332+L337+L340+L346</f>
        <v>56000</v>
      </c>
      <c r="M331" s="255">
        <f t="shared" ref="M331" si="144">M332+M337+M340+M346</f>
        <v>744000</v>
      </c>
      <c r="N331" s="255">
        <f>N332+N337+N340+N346+N343</f>
        <v>981036.88</v>
      </c>
      <c r="O331" s="255">
        <f t="shared" ref="O331:Z331" si="145">O332+O337+O340+O346+O343</f>
        <v>7695390.3399999999</v>
      </c>
      <c r="P331" s="255">
        <f t="shared" si="145"/>
        <v>0</v>
      </c>
      <c r="Q331" s="255">
        <f t="shared" si="145"/>
        <v>354940.95999999996</v>
      </c>
      <c r="R331" s="255">
        <f t="shared" si="145"/>
        <v>1335977.8399999999</v>
      </c>
      <c r="S331" s="255">
        <f t="shared" si="145"/>
        <v>7695390.3399999999</v>
      </c>
      <c r="T331" s="255">
        <f t="shared" si="145"/>
        <v>7750760.6500000004</v>
      </c>
      <c r="U331" s="255">
        <f t="shared" si="145"/>
        <v>0</v>
      </c>
      <c r="V331" s="255">
        <f t="shared" si="145"/>
        <v>0</v>
      </c>
      <c r="W331" s="255">
        <f t="shared" si="145"/>
        <v>7695390.3399999999</v>
      </c>
      <c r="X331" s="255">
        <f t="shared" si="145"/>
        <v>7750760.6500000004</v>
      </c>
      <c r="Y331" s="255">
        <f t="shared" si="145"/>
        <v>0</v>
      </c>
      <c r="Z331" s="256">
        <f t="shared" si="145"/>
        <v>7750760.6500000004</v>
      </c>
    </row>
    <row r="332" spans="1:26" ht="30.75" customHeight="1" x14ac:dyDescent="0.2">
      <c r="A332" s="304"/>
      <c r="B332" s="207" t="s">
        <v>47</v>
      </c>
      <c r="C332" s="117" t="s">
        <v>157</v>
      </c>
      <c r="D332" s="72" t="s">
        <v>135</v>
      </c>
      <c r="E332" s="72" t="s">
        <v>135</v>
      </c>
      <c r="F332" s="72" t="s">
        <v>135</v>
      </c>
      <c r="G332" s="72" t="s">
        <v>16</v>
      </c>
      <c r="H332" s="67" t="s">
        <v>135</v>
      </c>
      <c r="I332" s="214"/>
      <c r="J332" s="118">
        <f t="shared" ref="J332:X332" si="146">J333+J335</f>
        <v>6990162.1600000001</v>
      </c>
      <c r="K332" s="209">
        <f t="shared" si="146"/>
        <v>-4736052.88</v>
      </c>
      <c r="L332" s="209">
        <f t="shared" si="146"/>
        <v>56000</v>
      </c>
      <c r="M332" s="209">
        <f t="shared" si="146"/>
        <v>-56000</v>
      </c>
      <c r="N332" s="209">
        <f t="shared" si="146"/>
        <v>101036.88</v>
      </c>
      <c r="O332" s="210">
        <f t="shared" si="146"/>
        <v>5400390.3399999999</v>
      </c>
      <c r="P332" s="210">
        <f t="shared" si="146"/>
        <v>0</v>
      </c>
      <c r="Q332" s="209">
        <f>Q333+Q335</f>
        <v>254990.95999999996</v>
      </c>
      <c r="R332" s="209">
        <f>R333+R335</f>
        <v>356027.83999999997</v>
      </c>
      <c r="S332" s="210">
        <f t="shared" si="146"/>
        <v>5400390.3399999999</v>
      </c>
      <c r="T332" s="210">
        <f t="shared" si="146"/>
        <v>5455760.6500000004</v>
      </c>
      <c r="U332" s="210">
        <f t="shared" si="146"/>
        <v>0</v>
      </c>
      <c r="V332" s="210">
        <f>V333+V335</f>
        <v>0</v>
      </c>
      <c r="W332" s="210">
        <f>W333+W335</f>
        <v>5400390.3399999999</v>
      </c>
      <c r="X332" s="210">
        <f t="shared" si="146"/>
        <v>5455760.6500000004</v>
      </c>
      <c r="Y332" s="209">
        <f>Y333+Y335</f>
        <v>0</v>
      </c>
      <c r="Z332" s="210">
        <f>Z333+Z335</f>
        <v>5455760.6500000004</v>
      </c>
    </row>
    <row r="333" spans="1:26" ht="25.5" x14ac:dyDescent="0.2">
      <c r="A333" s="304"/>
      <c r="B333" s="212" t="s">
        <v>52</v>
      </c>
      <c r="C333" s="117" t="s">
        <v>157</v>
      </c>
      <c r="D333" s="72" t="s">
        <v>135</v>
      </c>
      <c r="E333" s="72" t="s">
        <v>135</v>
      </c>
      <c r="F333" s="72" t="s">
        <v>135</v>
      </c>
      <c r="G333" s="72" t="s">
        <v>16</v>
      </c>
      <c r="H333" s="67" t="s">
        <v>135</v>
      </c>
      <c r="I333" s="214">
        <v>200</v>
      </c>
      <c r="J333" s="118">
        <f t="shared" ref="J333:Z333" si="147">J334</f>
        <v>6920162.1600000001</v>
      </c>
      <c r="K333" s="209">
        <f t="shared" si="147"/>
        <v>-4736052.88</v>
      </c>
      <c r="L333" s="248">
        <f t="shared" si="147"/>
        <v>56000</v>
      </c>
      <c r="M333" s="248">
        <f t="shared" si="147"/>
        <v>-56000</v>
      </c>
      <c r="N333" s="248">
        <f t="shared" si="147"/>
        <v>31036.880000000001</v>
      </c>
      <c r="O333" s="248">
        <f t="shared" si="147"/>
        <v>5330390.34</v>
      </c>
      <c r="P333" s="248">
        <f t="shared" si="147"/>
        <v>0</v>
      </c>
      <c r="Q333" s="248">
        <f t="shared" si="147"/>
        <v>254990.95999999996</v>
      </c>
      <c r="R333" s="248">
        <f t="shared" si="147"/>
        <v>286027.83999999997</v>
      </c>
      <c r="S333" s="248">
        <f t="shared" si="147"/>
        <v>5330390.34</v>
      </c>
      <c r="T333" s="248">
        <f t="shared" si="147"/>
        <v>5385760.6500000004</v>
      </c>
      <c r="U333" s="248">
        <f t="shared" si="147"/>
        <v>0</v>
      </c>
      <c r="V333" s="248">
        <f t="shared" si="147"/>
        <v>0</v>
      </c>
      <c r="W333" s="248">
        <f t="shared" si="147"/>
        <v>5330390.34</v>
      </c>
      <c r="X333" s="248">
        <f t="shared" si="147"/>
        <v>5385760.6500000004</v>
      </c>
      <c r="Y333" s="473">
        <f t="shared" si="147"/>
        <v>0</v>
      </c>
      <c r="Z333" s="248">
        <f t="shared" si="147"/>
        <v>5385760.6500000004</v>
      </c>
    </row>
    <row r="334" spans="1:26" ht="25.5" x14ac:dyDescent="0.2">
      <c r="A334" s="304"/>
      <c r="B334" s="212" t="s">
        <v>54</v>
      </c>
      <c r="C334" s="117" t="s">
        <v>157</v>
      </c>
      <c r="D334" s="72" t="s">
        <v>135</v>
      </c>
      <c r="E334" s="72" t="s">
        <v>135</v>
      </c>
      <c r="F334" s="72" t="s">
        <v>135</v>
      </c>
      <c r="G334" s="72" t="s">
        <v>16</v>
      </c>
      <c r="H334" s="67" t="s">
        <v>135</v>
      </c>
      <c r="I334" s="214">
        <v>240</v>
      </c>
      <c r="J334" s="118">
        <v>6920162.1600000001</v>
      </c>
      <c r="K334" s="209">
        <v>-4736052.88</v>
      </c>
      <c r="L334" s="216">
        <v>56000</v>
      </c>
      <c r="M334" s="216">
        <v>-56000</v>
      </c>
      <c r="N334" s="216">
        <v>31036.880000000001</v>
      </c>
      <c r="O334" s="216">
        <f>1400000+100000+2340000+418296.5+25727.05+1046366.79</f>
        <v>5330390.34</v>
      </c>
      <c r="P334" s="216">
        <v>0</v>
      </c>
      <c r="Q334" s="216">
        <f>199990.96+50000+55000-50000</f>
        <v>254990.95999999996</v>
      </c>
      <c r="R334" s="216">
        <f>Q334+N334</f>
        <v>286027.83999999997</v>
      </c>
      <c r="S334" s="216">
        <v>5330390.34</v>
      </c>
      <c r="T334" s="216">
        <f>1400000+100000+2340000+418296.5+27242.83+1100221.32</f>
        <v>5385760.6500000004</v>
      </c>
      <c r="U334" s="216">
        <v>0</v>
      </c>
      <c r="V334" s="216">
        <v>0</v>
      </c>
      <c r="W334" s="216">
        <f>1400000+100000+2340000+418296.5+25727.05+1046366.79</f>
        <v>5330390.34</v>
      </c>
      <c r="X334" s="216">
        <f>1400000+100000+2340000+418296.5+27242.83+1100221.32</f>
        <v>5385760.6500000004</v>
      </c>
      <c r="Y334" s="215">
        <v>0</v>
      </c>
      <c r="Z334" s="216">
        <f>1400000+100000+2340000+418296.5+27242.83+1100221.32</f>
        <v>5385760.6500000004</v>
      </c>
    </row>
    <row r="335" spans="1:26" x14ac:dyDescent="0.2">
      <c r="A335" s="304"/>
      <c r="B335" s="212" t="s">
        <v>62</v>
      </c>
      <c r="C335" s="117" t="s">
        <v>157</v>
      </c>
      <c r="D335" s="72" t="s">
        <v>135</v>
      </c>
      <c r="E335" s="72" t="s">
        <v>135</v>
      </c>
      <c r="F335" s="72" t="s">
        <v>135</v>
      </c>
      <c r="G335" s="72" t="s">
        <v>16</v>
      </c>
      <c r="H335" s="67" t="s">
        <v>135</v>
      </c>
      <c r="I335" s="214" t="s">
        <v>63</v>
      </c>
      <c r="J335" s="118">
        <f t="shared" ref="J335:Z335" si="148">J336</f>
        <v>70000</v>
      </c>
      <c r="K335" s="209">
        <f t="shared" si="148"/>
        <v>0</v>
      </c>
      <c r="L335" s="248">
        <f t="shared" si="148"/>
        <v>0</v>
      </c>
      <c r="M335" s="248">
        <f t="shared" si="148"/>
        <v>0</v>
      </c>
      <c r="N335" s="248">
        <f t="shared" si="148"/>
        <v>70000</v>
      </c>
      <c r="O335" s="248">
        <f t="shared" si="148"/>
        <v>70000</v>
      </c>
      <c r="P335" s="248">
        <f t="shared" si="148"/>
        <v>0</v>
      </c>
      <c r="Q335" s="248">
        <f t="shared" si="148"/>
        <v>0</v>
      </c>
      <c r="R335" s="248">
        <f t="shared" si="148"/>
        <v>70000</v>
      </c>
      <c r="S335" s="248">
        <f t="shared" si="148"/>
        <v>70000</v>
      </c>
      <c r="T335" s="248">
        <f t="shared" si="148"/>
        <v>70000</v>
      </c>
      <c r="U335" s="248">
        <f t="shared" si="148"/>
        <v>0</v>
      </c>
      <c r="V335" s="248">
        <f t="shared" si="148"/>
        <v>0</v>
      </c>
      <c r="W335" s="248">
        <f t="shared" si="148"/>
        <v>70000</v>
      </c>
      <c r="X335" s="248">
        <f t="shared" si="148"/>
        <v>70000</v>
      </c>
      <c r="Y335" s="473">
        <f t="shared" si="148"/>
        <v>0</v>
      </c>
      <c r="Z335" s="248">
        <f t="shared" si="148"/>
        <v>70000</v>
      </c>
    </row>
    <row r="336" spans="1:26" x14ac:dyDescent="0.2">
      <c r="A336" s="304"/>
      <c r="B336" s="212" t="s">
        <v>64</v>
      </c>
      <c r="C336" s="117" t="s">
        <v>157</v>
      </c>
      <c r="D336" s="72" t="s">
        <v>135</v>
      </c>
      <c r="E336" s="72" t="s">
        <v>135</v>
      </c>
      <c r="F336" s="72" t="s">
        <v>135</v>
      </c>
      <c r="G336" s="72" t="s">
        <v>16</v>
      </c>
      <c r="H336" s="67" t="s">
        <v>135</v>
      </c>
      <c r="I336" s="214" t="s">
        <v>65</v>
      </c>
      <c r="J336" s="118">
        <v>70000</v>
      </c>
      <c r="K336" s="209">
        <v>0</v>
      </c>
      <c r="L336" s="216">
        <v>0</v>
      </c>
      <c r="M336" s="216">
        <v>0</v>
      </c>
      <c r="N336" s="216">
        <v>70000</v>
      </c>
      <c r="O336" s="216">
        <v>70000</v>
      </c>
      <c r="P336" s="216">
        <v>0</v>
      </c>
      <c r="Q336" s="216">
        <v>0</v>
      </c>
      <c r="R336" s="216">
        <f>N336</f>
        <v>70000</v>
      </c>
      <c r="S336" s="216">
        <v>70000</v>
      </c>
      <c r="T336" s="216">
        <v>70000</v>
      </c>
      <c r="U336" s="216">
        <v>0</v>
      </c>
      <c r="V336" s="216">
        <v>0</v>
      </c>
      <c r="W336" s="216">
        <v>70000</v>
      </c>
      <c r="X336" s="216">
        <v>70000</v>
      </c>
      <c r="Y336" s="215">
        <v>0</v>
      </c>
      <c r="Z336" s="216">
        <v>70000</v>
      </c>
    </row>
    <row r="337" spans="1:26" ht="19.5" customHeight="1" x14ac:dyDescent="0.2">
      <c r="A337" s="304"/>
      <c r="B337" s="212" t="s">
        <v>96</v>
      </c>
      <c r="C337" s="103" t="s">
        <v>157</v>
      </c>
      <c r="D337" s="66" t="s">
        <v>135</v>
      </c>
      <c r="E337" s="72" t="s">
        <v>135</v>
      </c>
      <c r="F337" s="72" t="s">
        <v>135</v>
      </c>
      <c r="G337" s="66" t="s">
        <v>141</v>
      </c>
      <c r="H337" s="67" t="s">
        <v>135</v>
      </c>
      <c r="I337" s="214"/>
      <c r="J337" s="118">
        <f t="shared" ref="J337:Y338" si="149">J338</f>
        <v>595000</v>
      </c>
      <c r="K337" s="209">
        <f t="shared" si="149"/>
        <v>-95000</v>
      </c>
      <c r="L337" s="209">
        <f t="shared" si="149"/>
        <v>0</v>
      </c>
      <c r="M337" s="209">
        <f t="shared" si="149"/>
        <v>0</v>
      </c>
      <c r="N337" s="209">
        <f t="shared" si="149"/>
        <v>80000</v>
      </c>
      <c r="O337" s="210">
        <f t="shared" si="149"/>
        <v>1095000</v>
      </c>
      <c r="P337" s="210">
        <f t="shared" si="149"/>
        <v>0</v>
      </c>
      <c r="Q337" s="209">
        <f t="shared" si="149"/>
        <v>49950</v>
      </c>
      <c r="R337" s="209">
        <f t="shared" si="149"/>
        <v>129950</v>
      </c>
      <c r="S337" s="210">
        <f t="shared" si="149"/>
        <v>1095000</v>
      </c>
      <c r="T337" s="210">
        <f t="shared" si="149"/>
        <v>1095000</v>
      </c>
      <c r="U337" s="210">
        <f t="shared" si="149"/>
        <v>0</v>
      </c>
      <c r="V337" s="210">
        <f t="shared" si="149"/>
        <v>0</v>
      </c>
      <c r="W337" s="210">
        <f t="shared" si="149"/>
        <v>1095000</v>
      </c>
      <c r="X337" s="210">
        <f t="shared" si="149"/>
        <v>1095000</v>
      </c>
      <c r="Y337" s="209">
        <f t="shared" si="149"/>
        <v>0</v>
      </c>
      <c r="Z337" s="210">
        <f>Z338</f>
        <v>1095000</v>
      </c>
    </row>
    <row r="338" spans="1:26" ht="25.5" x14ac:dyDescent="0.2">
      <c r="A338" s="304"/>
      <c r="B338" s="212" t="s">
        <v>52</v>
      </c>
      <c r="C338" s="103" t="s">
        <v>157</v>
      </c>
      <c r="D338" s="66" t="s">
        <v>135</v>
      </c>
      <c r="E338" s="72" t="s">
        <v>135</v>
      </c>
      <c r="F338" s="72" t="s">
        <v>135</v>
      </c>
      <c r="G338" s="66" t="s">
        <v>141</v>
      </c>
      <c r="H338" s="67" t="s">
        <v>135</v>
      </c>
      <c r="I338" s="214" t="s">
        <v>53</v>
      </c>
      <c r="J338" s="118">
        <f t="shared" si="149"/>
        <v>595000</v>
      </c>
      <c r="K338" s="209">
        <f t="shared" si="149"/>
        <v>-95000</v>
      </c>
      <c r="L338" s="209">
        <f t="shared" si="149"/>
        <v>0</v>
      </c>
      <c r="M338" s="209">
        <f t="shared" si="149"/>
        <v>0</v>
      </c>
      <c r="N338" s="209">
        <f t="shared" si="149"/>
        <v>80000</v>
      </c>
      <c r="O338" s="210">
        <f t="shared" si="149"/>
        <v>1095000</v>
      </c>
      <c r="P338" s="210">
        <f t="shared" si="149"/>
        <v>0</v>
      </c>
      <c r="Q338" s="209">
        <f t="shared" si="149"/>
        <v>49950</v>
      </c>
      <c r="R338" s="209">
        <f t="shared" si="149"/>
        <v>129950</v>
      </c>
      <c r="S338" s="210">
        <f t="shared" si="149"/>
        <v>1095000</v>
      </c>
      <c r="T338" s="210">
        <f t="shared" si="149"/>
        <v>1095000</v>
      </c>
      <c r="U338" s="210">
        <f t="shared" si="149"/>
        <v>0</v>
      </c>
      <c r="V338" s="210">
        <f t="shared" si="149"/>
        <v>0</v>
      </c>
      <c r="W338" s="210">
        <f t="shared" si="149"/>
        <v>1095000</v>
      </c>
      <c r="X338" s="210">
        <f t="shared" si="149"/>
        <v>1095000</v>
      </c>
      <c r="Y338" s="209">
        <f>Y339</f>
        <v>0</v>
      </c>
      <c r="Z338" s="210">
        <f>Z339</f>
        <v>1095000</v>
      </c>
    </row>
    <row r="339" spans="1:26" ht="25.5" x14ac:dyDescent="0.2">
      <c r="A339" s="304"/>
      <c r="B339" s="212" t="s">
        <v>54</v>
      </c>
      <c r="C339" s="103" t="s">
        <v>157</v>
      </c>
      <c r="D339" s="66" t="s">
        <v>135</v>
      </c>
      <c r="E339" s="72" t="s">
        <v>135</v>
      </c>
      <c r="F339" s="72" t="s">
        <v>135</v>
      </c>
      <c r="G339" s="66" t="s">
        <v>141</v>
      </c>
      <c r="H339" s="67" t="s">
        <v>135</v>
      </c>
      <c r="I339" s="214" t="s">
        <v>55</v>
      </c>
      <c r="J339" s="118">
        <v>595000</v>
      </c>
      <c r="K339" s="209">
        <v>-95000</v>
      </c>
      <c r="L339" s="216">
        <v>0</v>
      </c>
      <c r="M339" s="216">
        <v>0</v>
      </c>
      <c r="N339" s="216">
        <v>80000</v>
      </c>
      <c r="O339" s="216">
        <f>200000+895000</f>
        <v>1095000</v>
      </c>
      <c r="P339" s="216">
        <v>0</v>
      </c>
      <c r="Q339" s="216">
        <f>-50+50000</f>
        <v>49950</v>
      </c>
      <c r="R339" s="216">
        <f>Q339+N339</f>
        <v>129950</v>
      </c>
      <c r="S339" s="216">
        <f>200000+895000</f>
        <v>1095000</v>
      </c>
      <c r="T339" s="216">
        <f>200000+895000</f>
        <v>1095000</v>
      </c>
      <c r="U339" s="216">
        <v>0</v>
      </c>
      <c r="V339" s="216">
        <v>0</v>
      </c>
      <c r="W339" s="216">
        <f>200000+895000</f>
        <v>1095000</v>
      </c>
      <c r="X339" s="216">
        <f>200000+895000</f>
        <v>1095000</v>
      </c>
      <c r="Y339" s="215">
        <v>0</v>
      </c>
      <c r="Z339" s="216">
        <f>200000+895000</f>
        <v>1095000</v>
      </c>
    </row>
    <row r="340" spans="1:26" ht="20.25" customHeight="1" x14ac:dyDescent="0.2">
      <c r="A340" s="304"/>
      <c r="B340" s="258" t="s">
        <v>179</v>
      </c>
      <c r="C340" s="105" t="s">
        <v>157</v>
      </c>
      <c r="D340" s="70" t="s">
        <v>135</v>
      </c>
      <c r="E340" s="66" t="s">
        <v>135</v>
      </c>
      <c r="F340" s="66" t="s">
        <v>135</v>
      </c>
      <c r="G340" s="71" t="s">
        <v>167</v>
      </c>
      <c r="H340" s="67" t="s">
        <v>135</v>
      </c>
      <c r="I340" s="208"/>
      <c r="J340" s="118">
        <f t="shared" ref="J340:Y341" si="150">J341</f>
        <v>500000</v>
      </c>
      <c r="K340" s="209">
        <f t="shared" si="150"/>
        <v>0</v>
      </c>
      <c r="L340" s="209">
        <f t="shared" si="150"/>
        <v>0</v>
      </c>
      <c r="M340" s="209">
        <f t="shared" si="150"/>
        <v>0</v>
      </c>
      <c r="N340" s="209">
        <f t="shared" si="150"/>
        <v>0</v>
      </c>
      <c r="O340" s="210">
        <f t="shared" si="150"/>
        <v>1200000</v>
      </c>
      <c r="P340" s="210">
        <f t="shared" si="150"/>
        <v>0</v>
      </c>
      <c r="Q340" s="209">
        <f t="shared" si="150"/>
        <v>0</v>
      </c>
      <c r="R340" s="209">
        <f t="shared" si="150"/>
        <v>0</v>
      </c>
      <c r="S340" s="210">
        <f t="shared" si="150"/>
        <v>1200000</v>
      </c>
      <c r="T340" s="210">
        <f t="shared" si="150"/>
        <v>1200000</v>
      </c>
      <c r="U340" s="210">
        <f t="shared" si="150"/>
        <v>0</v>
      </c>
      <c r="V340" s="210">
        <f t="shared" si="150"/>
        <v>0</v>
      </c>
      <c r="W340" s="210">
        <f t="shared" si="150"/>
        <v>1200000</v>
      </c>
      <c r="X340" s="210">
        <f t="shared" si="150"/>
        <v>1200000</v>
      </c>
      <c r="Y340" s="209">
        <f t="shared" si="150"/>
        <v>0</v>
      </c>
      <c r="Z340" s="210">
        <f>Z341</f>
        <v>1200000</v>
      </c>
    </row>
    <row r="341" spans="1:26" ht="25.5" x14ac:dyDescent="0.2">
      <c r="A341" s="304"/>
      <c r="B341" s="212" t="s">
        <v>52</v>
      </c>
      <c r="C341" s="105" t="s">
        <v>157</v>
      </c>
      <c r="D341" s="70" t="s">
        <v>135</v>
      </c>
      <c r="E341" s="66" t="s">
        <v>135</v>
      </c>
      <c r="F341" s="66" t="s">
        <v>135</v>
      </c>
      <c r="G341" s="71" t="s">
        <v>167</v>
      </c>
      <c r="H341" s="67" t="s">
        <v>135</v>
      </c>
      <c r="I341" s="208" t="s">
        <v>53</v>
      </c>
      <c r="J341" s="118">
        <f t="shared" si="150"/>
        <v>500000</v>
      </c>
      <c r="K341" s="209">
        <f t="shared" si="150"/>
        <v>0</v>
      </c>
      <c r="L341" s="209">
        <f t="shared" si="150"/>
        <v>0</v>
      </c>
      <c r="M341" s="209">
        <f t="shared" si="150"/>
        <v>0</v>
      </c>
      <c r="N341" s="209">
        <f t="shared" si="150"/>
        <v>0</v>
      </c>
      <c r="O341" s="210">
        <f t="shared" si="150"/>
        <v>1200000</v>
      </c>
      <c r="P341" s="210">
        <f t="shared" si="150"/>
        <v>0</v>
      </c>
      <c r="Q341" s="209">
        <f t="shared" si="150"/>
        <v>0</v>
      </c>
      <c r="R341" s="209">
        <f t="shared" si="150"/>
        <v>0</v>
      </c>
      <c r="S341" s="210">
        <f t="shared" si="150"/>
        <v>1200000</v>
      </c>
      <c r="T341" s="210">
        <f t="shared" si="150"/>
        <v>1200000</v>
      </c>
      <c r="U341" s="210">
        <f t="shared" si="150"/>
        <v>0</v>
      </c>
      <c r="V341" s="210">
        <f t="shared" si="150"/>
        <v>0</v>
      </c>
      <c r="W341" s="210">
        <f t="shared" si="150"/>
        <v>1200000</v>
      </c>
      <c r="X341" s="210">
        <f t="shared" si="150"/>
        <v>1200000</v>
      </c>
      <c r="Y341" s="209">
        <f>Y342</f>
        <v>0</v>
      </c>
      <c r="Z341" s="210">
        <f>Z342</f>
        <v>1200000</v>
      </c>
    </row>
    <row r="342" spans="1:26" ht="25.5" x14ac:dyDescent="0.2">
      <c r="A342" s="304"/>
      <c r="B342" s="212" t="s">
        <v>54</v>
      </c>
      <c r="C342" s="105" t="s">
        <v>157</v>
      </c>
      <c r="D342" s="70" t="s">
        <v>135</v>
      </c>
      <c r="E342" s="66" t="s">
        <v>135</v>
      </c>
      <c r="F342" s="66" t="s">
        <v>135</v>
      </c>
      <c r="G342" s="71" t="s">
        <v>167</v>
      </c>
      <c r="H342" s="67" t="s">
        <v>135</v>
      </c>
      <c r="I342" s="208" t="s">
        <v>55</v>
      </c>
      <c r="J342" s="118">
        <v>500000</v>
      </c>
      <c r="K342" s="209">
        <v>0</v>
      </c>
      <c r="L342" s="216">
        <v>0</v>
      </c>
      <c r="M342" s="216">
        <v>0</v>
      </c>
      <c r="N342" s="216">
        <v>0</v>
      </c>
      <c r="O342" s="216">
        <v>1200000</v>
      </c>
      <c r="P342" s="216">
        <v>0</v>
      </c>
      <c r="Q342" s="216">
        <v>0</v>
      </c>
      <c r="R342" s="216">
        <v>0</v>
      </c>
      <c r="S342" s="216">
        <v>1200000</v>
      </c>
      <c r="T342" s="216">
        <v>1200000</v>
      </c>
      <c r="U342" s="216">
        <v>0</v>
      </c>
      <c r="V342" s="216">
        <v>0</v>
      </c>
      <c r="W342" s="216">
        <v>1200000</v>
      </c>
      <c r="X342" s="216">
        <v>1200000</v>
      </c>
      <c r="Y342" s="215">
        <v>0</v>
      </c>
      <c r="Z342" s="216">
        <v>1200000</v>
      </c>
    </row>
    <row r="343" spans="1:26" ht="51" x14ac:dyDescent="0.2">
      <c r="A343" s="304"/>
      <c r="B343" s="212" t="s">
        <v>442</v>
      </c>
      <c r="C343" s="103" t="s">
        <v>157</v>
      </c>
      <c r="D343" s="66" t="s">
        <v>135</v>
      </c>
      <c r="E343" s="66" t="s">
        <v>135</v>
      </c>
      <c r="F343" s="66" t="s">
        <v>135</v>
      </c>
      <c r="G343" s="66" t="s">
        <v>443</v>
      </c>
      <c r="H343" s="67" t="s">
        <v>137</v>
      </c>
      <c r="I343" s="309"/>
      <c r="J343" s="68"/>
      <c r="K343" s="69"/>
      <c r="L343" s="216"/>
      <c r="M343" s="216"/>
      <c r="N343" s="216">
        <f>N344</f>
        <v>0</v>
      </c>
      <c r="O343" s="215"/>
      <c r="P343" s="216"/>
      <c r="Q343" s="216">
        <f t="shared" ref="Q343:S344" si="151">Q344</f>
        <v>50000</v>
      </c>
      <c r="R343" s="216">
        <f t="shared" si="151"/>
        <v>50000</v>
      </c>
      <c r="S343" s="217">
        <f t="shared" si="151"/>
        <v>0</v>
      </c>
      <c r="T343" s="216"/>
      <c r="U343" s="215"/>
      <c r="V343" s="217">
        <f t="shared" ref="V343:Z344" si="152">V344</f>
        <v>0</v>
      </c>
      <c r="W343" s="217">
        <f t="shared" si="152"/>
        <v>0</v>
      </c>
      <c r="X343" s="217">
        <f t="shared" si="152"/>
        <v>0</v>
      </c>
      <c r="Y343" s="68">
        <f t="shared" si="152"/>
        <v>0</v>
      </c>
      <c r="Z343" s="216">
        <f t="shared" si="152"/>
        <v>0</v>
      </c>
    </row>
    <row r="344" spans="1:26" ht="25.5" x14ac:dyDescent="0.2">
      <c r="A344" s="304"/>
      <c r="B344" s="212" t="s">
        <v>52</v>
      </c>
      <c r="C344" s="103" t="s">
        <v>157</v>
      </c>
      <c r="D344" s="66" t="s">
        <v>135</v>
      </c>
      <c r="E344" s="66" t="s">
        <v>135</v>
      </c>
      <c r="F344" s="66" t="s">
        <v>135</v>
      </c>
      <c r="G344" s="66" t="s">
        <v>443</v>
      </c>
      <c r="H344" s="67" t="s">
        <v>137</v>
      </c>
      <c r="I344" s="309" t="s">
        <v>53</v>
      </c>
      <c r="J344" s="68"/>
      <c r="K344" s="69"/>
      <c r="L344" s="216"/>
      <c r="M344" s="216"/>
      <c r="N344" s="216">
        <f>N345</f>
        <v>0</v>
      </c>
      <c r="O344" s="215"/>
      <c r="P344" s="216"/>
      <c r="Q344" s="216">
        <f t="shared" si="151"/>
        <v>50000</v>
      </c>
      <c r="R344" s="216">
        <f t="shared" si="151"/>
        <v>50000</v>
      </c>
      <c r="S344" s="217">
        <f t="shared" si="151"/>
        <v>0</v>
      </c>
      <c r="T344" s="216"/>
      <c r="U344" s="215"/>
      <c r="V344" s="217">
        <f t="shared" si="152"/>
        <v>0</v>
      </c>
      <c r="W344" s="217">
        <f t="shared" si="152"/>
        <v>0</v>
      </c>
      <c r="X344" s="217">
        <f t="shared" si="152"/>
        <v>0</v>
      </c>
      <c r="Y344" s="68">
        <f t="shared" si="152"/>
        <v>0</v>
      </c>
      <c r="Z344" s="216">
        <f t="shared" si="152"/>
        <v>0</v>
      </c>
    </row>
    <row r="345" spans="1:26" ht="25.5" x14ac:dyDescent="0.2">
      <c r="A345" s="304"/>
      <c r="B345" s="212" t="s">
        <v>54</v>
      </c>
      <c r="C345" s="103" t="s">
        <v>157</v>
      </c>
      <c r="D345" s="66" t="s">
        <v>135</v>
      </c>
      <c r="E345" s="66" t="s">
        <v>135</v>
      </c>
      <c r="F345" s="66" t="s">
        <v>135</v>
      </c>
      <c r="G345" s="66" t="s">
        <v>443</v>
      </c>
      <c r="H345" s="67" t="s">
        <v>137</v>
      </c>
      <c r="I345" s="309" t="s">
        <v>55</v>
      </c>
      <c r="J345" s="68"/>
      <c r="K345" s="69"/>
      <c r="L345" s="216"/>
      <c r="M345" s="216"/>
      <c r="N345" s="216">
        <v>0</v>
      </c>
      <c r="O345" s="215"/>
      <c r="P345" s="216"/>
      <c r="Q345" s="216">
        <f>49950+50</f>
        <v>50000</v>
      </c>
      <c r="R345" s="216">
        <f>Q345</f>
        <v>50000</v>
      </c>
      <c r="S345" s="217">
        <v>0</v>
      </c>
      <c r="T345" s="216"/>
      <c r="U345" s="215"/>
      <c r="V345" s="217">
        <v>0</v>
      </c>
      <c r="W345" s="217">
        <v>0</v>
      </c>
      <c r="X345" s="217">
        <v>0</v>
      </c>
      <c r="Y345" s="68">
        <v>0</v>
      </c>
      <c r="Z345" s="216">
        <v>0</v>
      </c>
    </row>
    <row r="346" spans="1:26" ht="63.75" x14ac:dyDescent="0.2">
      <c r="A346" s="304"/>
      <c r="B346" s="363" t="s">
        <v>386</v>
      </c>
      <c r="C346" s="72" t="s">
        <v>157</v>
      </c>
      <c r="D346" s="72" t="s">
        <v>135</v>
      </c>
      <c r="E346" s="66" t="s">
        <v>135</v>
      </c>
      <c r="F346" s="66" t="s">
        <v>135</v>
      </c>
      <c r="G346" s="72" t="s">
        <v>385</v>
      </c>
      <c r="H346" s="67" t="s">
        <v>135</v>
      </c>
      <c r="I346" s="214"/>
      <c r="J346" s="101"/>
      <c r="K346" s="102"/>
      <c r="L346" s="216">
        <f t="shared" ref="L346:Z347" si="153">L347</f>
        <v>0</v>
      </c>
      <c r="M346" s="216">
        <f t="shared" si="153"/>
        <v>800000</v>
      </c>
      <c r="N346" s="216">
        <f t="shared" si="153"/>
        <v>800000</v>
      </c>
      <c r="O346" s="216">
        <f t="shared" si="153"/>
        <v>0</v>
      </c>
      <c r="P346" s="216">
        <f t="shared" si="153"/>
        <v>0</v>
      </c>
      <c r="Q346" s="216">
        <f t="shared" si="153"/>
        <v>0</v>
      </c>
      <c r="R346" s="216">
        <f t="shared" si="153"/>
        <v>800000</v>
      </c>
      <c r="S346" s="216">
        <f t="shared" si="153"/>
        <v>0</v>
      </c>
      <c r="T346" s="216">
        <f t="shared" si="153"/>
        <v>0</v>
      </c>
      <c r="U346" s="216">
        <f t="shared" si="153"/>
        <v>0</v>
      </c>
      <c r="V346" s="216">
        <f t="shared" si="153"/>
        <v>0</v>
      </c>
      <c r="W346" s="216">
        <f t="shared" si="153"/>
        <v>0</v>
      </c>
      <c r="X346" s="216">
        <f t="shared" si="153"/>
        <v>0</v>
      </c>
      <c r="Y346" s="215">
        <f t="shared" si="153"/>
        <v>0</v>
      </c>
      <c r="Z346" s="216">
        <f t="shared" si="153"/>
        <v>0</v>
      </c>
    </row>
    <row r="347" spans="1:26" ht="25.5" x14ac:dyDescent="0.2">
      <c r="A347" s="304"/>
      <c r="B347" s="362" t="s">
        <v>52</v>
      </c>
      <c r="C347" s="72" t="s">
        <v>157</v>
      </c>
      <c r="D347" s="72" t="s">
        <v>135</v>
      </c>
      <c r="E347" s="66" t="s">
        <v>135</v>
      </c>
      <c r="F347" s="66" t="s">
        <v>135</v>
      </c>
      <c r="G347" s="72" t="s">
        <v>385</v>
      </c>
      <c r="H347" s="67" t="s">
        <v>135</v>
      </c>
      <c r="I347" s="214">
        <v>200</v>
      </c>
      <c r="J347" s="101"/>
      <c r="K347" s="102"/>
      <c r="L347" s="216">
        <v>0</v>
      </c>
      <c r="M347" s="216">
        <f>M348</f>
        <v>800000</v>
      </c>
      <c r="N347" s="216">
        <f>N348</f>
        <v>800000</v>
      </c>
      <c r="O347" s="216">
        <v>0</v>
      </c>
      <c r="P347" s="216">
        <f>P348</f>
        <v>0</v>
      </c>
      <c r="Q347" s="216">
        <f>Q348</f>
        <v>0</v>
      </c>
      <c r="R347" s="216">
        <f>R348</f>
        <v>800000</v>
      </c>
      <c r="S347" s="216">
        <f>S348</f>
        <v>0</v>
      </c>
      <c r="T347" s="216">
        <v>0</v>
      </c>
      <c r="U347" s="216">
        <f>U348</f>
        <v>0</v>
      </c>
      <c r="V347" s="216">
        <f t="shared" si="153"/>
        <v>0</v>
      </c>
      <c r="W347" s="216">
        <f t="shared" si="153"/>
        <v>0</v>
      </c>
      <c r="X347" s="216">
        <f>X348</f>
        <v>0</v>
      </c>
      <c r="Y347" s="215">
        <f t="shared" si="153"/>
        <v>0</v>
      </c>
      <c r="Z347" s="216">
        <f t="shared" si="153"/>
        <v>0</v>
      </c>
    </row>
    <row r="348" spans="1:26" ht="25.5" x14ac:dyDescent="0.2">
      <c r="A348" s="304"/>
      <c r="B348" s="362" t="s">
        <v>54</v>
      </c>
      <c r="C348" s="72" t="s">
        <v>157</v>
      </c>
      <c r="D348" s="72" t="s">
        <v>135</v>
      </c>
      <c r="E348" s="66" t="s">
        <v>135</v>
      </c>
      <c r="F348" s="66" t="s">
        <v>135</v>
      </c>
      <c r="G348" s="72" t="s">
        <v>385</v>
      </c>
      <c r="H348" s="67" t="s">
        <v>135</v>
      </c>
      <c r="I348" s="214">
        <v>240</v>
      </c>
      <c r="J348" s="101"/>
      <c r="K348" s="102"/>
      <c r="L348" s="216">
        <f>L347</f>
        <v>0</v>
      </c>
      <c r="M348" s="216">
        <f>744000+56000</f>
        <v>800000</v>
      </c>
      <c r="N348" s="216">
        <f>M348</f>
        <v>800000</v>
      </c>
      <c r="O348" s="216">
        <f>O347</f>
        <v>0</v>
      </c>
      <c r="P348" s="216">
        <v>0</v>
      </c>
      <c r="Q348" s="216">
        <v>0</v>
      </c>
      <c r="R348" s="216">
        <f>Q348+N348</f>
        <v>800000</v>
      </c>
      <c r="S348" s="216">
        <f>P348</f>
        <v>0</v>
      </c>
      <c r="T348" s="216">
        <f>T347</f>
        <v>0</v>
      </c>
      <c r="U348" s="216">
        <v>0</v>
      </c>
      <c r="V348" s="216">
        <f>S348</f>
        <v>0</v>
      </c>
      <c r="W348" s="216">
        <f>T348</f>
        <v>0</v>
      </c>
      <c r="X348" s="216">
        <f>U348</f>
        <v>0</v>
      </c>
      <c r="Y348" s="215">
        <f>V348</f>
        <v>0</v>
      </c>
      <c r="Z348" s="216">
        <f>W348</f>
        <v>0</v>
      </c>
    </row>
    <row r="349" spans="1:26" x14ac:dyDescent="0.2">
      <c r="A349" s="304"/>
      <c r="B349" s="280"/>
      <c r="C349" s="305"/>
      <c r="D349" s="144"/>
      <c r="E349" s="88"/>
      <c r="F349" s="88"/>
      <c r="G349" s="144"/>
      <c r="H349" s="90"/>
      <c r="I349" s="307"/>
      <c r="J349" s="288"/>
      <c r="K349" s="264"/>
      <c r="L349" s="264"/>
      <c r="M349" s="264"/>
      <c r="N349" s="264"/>
      <c r="O349" s="265"/>
      <c r="P349" s="265"/>
      <c r="Q349" s="264"/>
      <c r="R349" s="264"/>
      <c r="S349" s="265"/>
      <c r="T349" s="265"/>
      <c r="U349" s="265"/>
      <c r="V349" s="265"/>
      <c r="W349" s="265"/>
      <c r="X349" s="265"/>
      <c r="Y349" s="264"/>
      <c r="Z349" s="265"/>
    </row>
    <row r="350" spans="1:26" ht="6" customHeight="1" x14ac:dyDescent="0.2">
      <c r="A350" s="304"/>
      <c r="B350" s="267"/>
      <c r="C350" s="336"/>
      <c r="D350" s="337"/>
      <c r="E350" s="337"/>
      <c r="F350" s="337"/>
      <c r="G350" s="338"/>
      <c r="H350" s="339"/>
      <c r="I350" s="272"/>
      <c r="J350" s="310"/>
      <c r="K350" s="311"/>
      <c r="L350" s="311"/>
      <c r="M350" s="311"/>
      <c r="N350" s="311"/>
      <c r="O350" s="312"/>
      <c r="P350" s="312"/>
      <c r="Q350" s="312"/>
      <c r="R350" s="310"/>
      <c r="S350" s="312"/>
      <c r="T350" s="312"/>
      <c r="U350" s="312"/>
      <c r="V350" s="312"/>
      <c r="W350" s="312"/>
      <c r="X350" s="312"/>
      <c r="Y350" s="311"/>
      <c r="Z350" s="312"/>
    </row>
    <row r="351" spans="1:26" ht="39" customHeight="1" x14ac:dyDescent="0.2">
      <c r="A351" s="304"/>
      <c r="B351" s="250" t="s">
        <v>364</v>
      </c>
      <c r="C351" s="302" t="s">
        <v>184</v>
      </c>
      <c r="D351" s="227" t="s">
        <v>135</v>
      </c>
      <c r="E351" s="227" t="s">
        <v>135</v>
      </c>
      <c r="F351" s="227" t="s">
        <v>135</v>
      </c>
      <c r="G351" s="227" t="s">
        <v>136</v>
      </c>
      <c r="H351" s="228" t="s">
        <v>135</v>
      </c>
      <c r="I351" s="303"/>
      <c r="J351" s="195" t="e">
        <f>J355</f>
        <v>#REF!</v>
      </c>
      <c r="K351" s="196" t="e">
        <f>K355</f>
        <v>#REF!</v>
      </c>
      <c r="L351" s="197">
        <f>L355+L352+L360</f>
        <v>0</v>
      </c>
      <c r="M351" s="197">
        <f>M355+M352+M360</f>
        <v>184116316</v>
      </c>
      <c r="N351" s="197">
        <f>N355+N352+N360+N363</f>
        <v>188974636</v>
      </c>
      <c r="O351" s="197">
        <f t="shared" ref="O351:Z351" si="154">O355+O352+O360+O363</f>
        <v>1363560.0899999999</v>
      </c>
      <c r="P351" s="197">
        <f t="shared" si="154"/>
        <v>0</v>
      </c>
      <c r="Q351" s="197">
        <f t="shared" si="154"/>
        <v>1623800.6</v>
      </c>
      <c r="R351" s="197">
        <f t="shared" si="154"/>
        <v>190598436.59999999</v>
      </c>
      <c r="S351" s="197">
        <f t="shared" si="154"/>
        <v>1363560.0899999999</v>
      </c>
      <c r="T351" s="197">
        <f t="shared" si="154"/>
        <v>1380060.0899999999</v>
      </c>
      <c r="U351" s="197">
        <f t="shared" si="154"/>
        <v>0</v>
      </c>
      <c r="V351" s="197">
        <f t="shared" si="154"/>
        <v>0</v>
      </c>
      <c r="W351" s="197">
        <f t="shared" si="154"/>
        <v>1363560.0899999999</v>
      </c>
      <c r="X351" s="197">
        <f t="shared" si="154"/>
        <v>1380060.0899999999</v>
      </c>
      <c r="Y351" s="196">
        <f t="shared" si="154"/>
        <v>0</v>
      </c>
      <c r="Z351" s="197">
        <f t="shared" si="154"/>
        <v>1380060.0899999999</v>
      </c>
    </row>
    <row r="352" spans="1:26" ht="32.25" hidden="1" customHeight="1" x14ac:dyDescent="0.2">
      <c r="A352" s="304"/>
      <c r="B352" s="277" t="s">
        <v>176</v>
      </c>
      <c r="C352" s="103" t="s">
        <v>184</v>
      </c>
      <c r="D352" s="66" t="s">
        <v>135</v>
      </c>
      <c r="E352" s="66" t="s">
        <v>135</v>
      </c>
      <c r="F352" s="66" t="s">
        <v>135</v>
      </c>
      <c r="G352" s="66" t="s">
        <v>175</v>
      </c>
      <c r="H352" s="67" t="s">
        <v>135</v>
      </c>
      <c r="I352" s="214"/>
      <c r="J352" s="195"/>
      <c r="K352" s="196"/>
      <c r="L352" s="210">
        <f t="shared" ref="L352:Z353" si="155">L353</f>
        <v>0</v>
      </c>
      <c r="M352" s="210">
        <f t="shared" si="155"/>
        <v>0</v>
      </c>
      <c r="N352" s="118">
        <f t="shared" si="155"/>
        <v>0</v>
      </c>
      <c r="O352" s="210">
        <f t="shared" si="155"/>
        <v>0</v>
      </c>
      <c r="P352" s="210">
        <f t="shared" si="155"/>
        <v>0</v>
      </c>
      <c r="Q352" s="210">
        <f t="shared" si="155"/>
        <v>0</v>
      </c>
      <c r="R352" s="118">
        <f t="shared" si="155"/>
        <v>0</v>
      </c>
      <c r="S352" s="210">
        <f t="shared" si="155"/>
        <v>0</v>
      </c>
      <c r="T352" s="210">
        <f t="shared" si="155"/>
        <v>0</v>
      </c>
      <c r="U352" s="210">
        <f t="shared" si="155"/>
        <v>0</v>
      </c>
      <c r="V352" s="210">
        <f t="shared" si="155"/>
        <v>0</v>
      </c>
      <c r="W352" s="210">
        <f t="shared" si="155"/>
        <v>0</v>
      </c>
      <c r="X352" s="210">
        <f t="shared" si="155"/>
        <v>0</v>
      </c>
      <c r="Y352" s="209">
        <f t="shared" si="155"/>
        <v>0</v>
      </c>
      <c r="Z352" s="210">
        <f t="shared" si="155"/>
        <v>0</v>
      </c>
    </row>
    <row r="353" spans="1:26" ht="32.25" hidden="1" customHeight="1" x14ac:dyDescent="0.2">
      <c r="A353" s="304"/>
      <c r="B353" s="207" t="s">
        <v>187</v>
      </c>
      <c r="C353" s="103" t="s">
        <v>184</v>
      </c>
      <c r="D353" s="66" t="s">
        <v>135</v>
      </c>
      <c r="E353" s="66" t="s">
        <v>135</v>
      </c>
      <c r="F353" s="66" t="s">
        <v>135</v>
      </c>
      <c r="G353" s="66" t="s">
        <v>175</v>
      </c>
      <c r="H353" s="67" t="s">
        <v>135</v>
      </c>
      <c r="I353" s="214" t="s">
        <v>160</v>
      </c>
      <c r="J353" s="195"/>
      <c r="K353" s="196"/>
      <c r="L353" s="216">
        <f t="shared" si="155"/>
        <v>0</v>
      </c>
      <c r="M353" s="216">
        <f t="shared" si="155"/>
        <v>0</v>
      </c>
      <c r="N353" s="68">
        <f t="shared" si="155"/>
        <v>0</v>
      </c>
      <c r="O353" s="216">
        <f t="shared" si="155"/>
        <v>0</v>
      </c>
      <c r="P353" s="216">
        <f t="shared" si="155"/>
        <v>0</v>
      </c>
      <c r="Q353" s="216">
        <f t="shared" si="155"/>
        <v>0</v>
      </c>
      <c r="R353" s="68">
        <f t="shared" si="155"/>
        <v>0</v>
      </c>
      <c r="S353" s="216">
        <f t="shared" si="155"/>
        <v>0</v>
      </c>
      <c r="T353" s="216">
        <f t="shared" si="155"/>
        <v>0</v>
      </c>
      <c r="U353" s="216">
        <f t="shared" si="155"/>
        <v>0</v>
      </c>
      <c r="V353" s="216">
        <f t="shared" si="155"/>
        <v>0</v>
      </c>
      <c r="W353" s="216">
        <f t="shared" si="155"/>
        <v>0</v>
      </c>
      <c r="X353" s="216">
        <f t="shared" si="155"/>
        <v>0</v>
      </c>
      <c r="Y353" s="215">
        <f t="shared" si="155"/>
        <v>0</v>
      </c>
      <c r="Z353" s="216">
        <f t="shared" si="155"/>
        <v>0</v>
      </c>
    </row>
    <row r="354" spans="1:26" ht="32.25" hidden="1" customHeight="1" x14ac:dyDescent="0.2">
      <c r="A354" s="304"/>
      <c r="B354" s="258" t="s">
        <v>162</v>
      </c>
      <c r="C354" s="103" t="s">
        <v>184</v>
      </c>
      <c r="D354" s="66" t="s">
        <v>135</v>
      </c>
      <c r="E354" s="66" t="s">
        <v>135</v>
      </c>
      <c r="F354" s="66" t="s">
        <v>135</v>
      </c>
      <c r="G354" s="66" t="s">
        <v>175</v>
      </c>
      <c r="H354" s="67" t="s">
        <v>135</v>
      </c>
      <c r="I354" s="214" t="s">
        <v>161</v>
      </c>
      <c r="J354" s="195"/>
      <c r="K354" s="196"/>
      <c r="L354" s="216">
        <v>0</v>
      </c>
      <c r="M354" s="216">
        <v>0</v>
      </c>
      <c r="N354" s="68">
        <v>0</v>
      </c>
      <c r="O354" s="216">
        <v>0</v>
      </c>
      <c r="P354" s="216">
        <v>0</v>
      </c>
      <c r="Q354" s="216">
        <v>0</v>
      </c>
      <c r="R354" s="68">
        <v>0</v>
      </c>
      <c r="S354" s="216">
        <v>0</v>
      </c>
      <c r="T354" s="216">
        <v>0</v>
      </c>
      <c r="U354" s="216">
        <v>0</v>
      </c>
      <c r="V354" s="216">
        <v>0</v>
      </c>
      <c r="W354" s="216">
        <v>0</v>
      </c>
      <c r="X354" s="216">
        <v>0</v>
      </c>
      <c r="Y354" s="215">
        <v>0</v>
      </c>
      <c r="Z354" s="216">
        <v>0</v>
      </c>
    </row>
    <row r="355" spans="1:26" ht="21" customHeight="1" x14ac:dyDescent="0.2">
      <c r="A355" s="304"/>
      <c r="B355" s="212" t="s">
        <v>49</v>
      </c>
      <c r="C355" s="117" t="s">
        <v>184</v>
      </c>
      <c r="D355" s="72" t="s">
        <v>135</v>
      </c>
      <c r="E355" s="72" t="s">
        <v>135</v>
      </c>
      <c r="F355" s="72" t="s">
        <v>135</v>
      </c>
      <c r="G355" s="72" t="s">
        <v>18</v>
      </c>
      <c r="H355" s="67" t="s">
        <v>135</v>
      </c>
      <c r="I355" s="214"/>
      <c r="J355" s="118" t="e">
        <f>J356+J358+#REF!</f>
        <v>#REF!</v>
      </c>
      <c r="K355" s="209" t="e">
        <f>K356+K358+#REF!</f>
        <v>#REF!</v>
      </c>
      <c r="L355" s="210">
        <f t="shared" ref="L355:X355" si="156">L356+L358</f>
        <v>0</v>
      </c>
      <c r="M355" s="210">
        <f t="shared" si="156"/>
        <v>0</v>
      </c>
      <c r="N355" s="118">
        <f t="shared" si="156"/>
        <v>0</v>
      </c>
      <c r="O355" s="210">
        <f t="shared" si="156"/>
        <v>1363560.0899999999</v>
      </c>
      <c r="P355" s="210">
        <f t="shared" si="156"/>
        <v>0</v>
      </c>
      <c r="Q355" s="210">
        <f>Q356+Q358</f>
        <v>65523.6</v>
      </c>
      <c r="R355" s="118">
        <f>R356+R358</f>
        <v>65523.6</v>
      </c>
      <c r="S355" s="210">
        <f t="shared" si="156"/>
        <v>1363560.0899999999</v>
      </c>
      <c r="T355" s="210">
        <f t="shared" si="156"/>
        <v>1380060.0899999999</v>
      </c>
      <c r="U355" s="210">
        <f t="shared" si="156"/>
        <v>0</v>
      </c>
      <c r="V355" s="210">
        <f>V356+V358</f>
        <v>0</v>
      </c>
      <c r="W355" s="210">
        <f>W356+W358</f>
        <v>1363560.0899999999</v>
      </c>
      <c r="X355" s="210">
        <f t="shared" si="156"/>
        <v>1380060.0899999999</v>
      </c>
      <c r="Y355" s="209">
        <f>Y356+Y358</f>
        <v>0</v>
      </c>
      <c r="Z355" s="210">
        <f>Z356+Z358</f>
        <v>1380060.0899999999</v>
      </c>
    </row>
    <row r="356" spans="1:26" ht="57" customHeight="1" x14ac:dyDescent="0.2">
      <c r="A356" s="304"/>
      <c r="B356" s="212" t="s">
        <v>67</v>
      </c>
      <c r="C356" s="103" t="s">
        <v>184</v>
      </c>
      <c r="D356" s="66" t="s">
        <v>135</v>
      </c>
      <c r="E356" s="66" t="s">
        <v>135</v>
      </c>
      <c r="F356" s="66" t="s">
        <v>135</v>
      </c>
      <c r="G356" s="66" t="s">
        <v>18</v>
      </c>
      <c r="H356" s="67" t="s">
        <v>135</v>
      </c>
      <c r="I356" s="214" t="s">
        <v>60</v>
      </c>
      <c r="J356" s="118">
        <f t="shared" ref="J356:Z356" si="157">J357</f>
        <v>263500</v>
      </c>
      <c r="K356" s="209">
        <f t="shared" si="157"/>
        <v>0</v>
      </c>
      <c r="L356" s="216">
        <f t="shared" si="157"/>
        <v>0</v>
      </c>
      <c r="M356" s="216">
        <f t="shared" si="157"/>
        <v>0</v>
      </c>
      <c r="N356" s="68">
        <f t="shared" si="157"/>
        <v>0</v>
      </c>
      <c r="O356" s="216">
        <f t="shared" si="157"/>
        <v>390500</v>
      </c>
      <c r="P356" s="216">
        <f t="shared" si="157"/>
        <v>0</v>
      </c>
      <c r="Q356" s="216">
        <f t="shared" si="157"/>
        <v>0</v>
      </c>
      <c r="R356" s="68">
        <f t="shared" si="157"/>
        <v>0</v>
      </c>
      <c r="S356" s="216">
        <f t="shared" si="157"/>
        <v>390500</v>
      </c>
      <c r="T356" s="216">
        <f t="shared" si="157"/>
        <v>390500</v>
      </c>
      <c r="U356" s="216">
        <f t="shared" si="157"/>
        <v>0</v>
      </c>
      <c r="V356" s="216">
        <f t="shared" si="157"/>
        <v>0</v>
      </c>
      <c r="W356" s="216">
        <f t="shared" si="157"/>
        <v>390500</v>
      </c>
      <c r="X356" s="216">
        <f t="shared" si="157"/>
        <v>390500</v>
      </c>
      <c r="Y356" s="215">
        <f t="shared" si="157"/>
        <v>0</v>
      </c>
      <c r="Z356" s="216">
        <f t="shared" si="157"/>
        <v>390500</v>
      </c>
    </row>
    <row r="357" spans="1:26" ht="25.5" customHeight="1" x14ac:dyDescent="0.2">
      <c r="A357" s="304"/>
      <c r="B357" s="212" t="s">
        <v>61</v>
      </c>
      <c r="C357" s="103" t="s">
        <v>184</v>
      </c>
      <c r="D357" s="66" t="s">
        <v>135</v>
      </c>
      <c r="E357" s="66" t="s">
        <v>135</v>
      </c>
      <c r="F357" s="66" t="s">
        <v>135</v>
      </c>
      <c r="G357" s="66" t="s">
        <v>18</v>
      </c>
      <c r="H357" s="67" t="s">
        <v>135</v>
      </c>
      <c r="I357" s="214" t="s">
        <v>171</v>
      </c>
      <c r="J357" s="118">
        <v>263500</v>
      </c>
      <c r="K357" s="209">
        <v>0</v>
      </c>
      <c r="L357" s="217">
        <v>0</v>
      </c>
      <c r="M357" s="216">
        <v>0</v>
      </c>
      <c r="N357" s="68">
        <v>0</v>
      </c>
      <c r="O357" s="216">
        <f>346000+44500</f>
        <v>390500</v>
      </c>
      <c r="P357" s="216">
        <v>0</v>
      </c>
      <c r="Q357" s="216">
        <v>0</v>
      </c>
      <c r="R357" s="68">
        <v>0</v>
      </c>
      <c r="S357" s="216">
        <f>346000+44500</f>
        <v>390500</v>
      </c>
      <c r="T357" s="216">
        <f>346000+44500</f>
        <v>390500</v>
      </c>
      <c r="U357" s="216">
        <v>0</v>
      </c>
      <c r="V357" s="216">
        <v>0</v>
      </c>
      <c r="W357" s="216">
        <f>346000+44500</f>
        <v>390500</v>
      </c>
      <c r="X357" s="216">
        <f>346000+44500</f>
        <v>390500</v>
      </c>
      <c r="Y357" s="215">
        <v>0</v>
      </c>
      <c r="Z357" s="216">
        <f>346000+44500</f>
        <v>390500</v>
      </c>
    </row>
    <row r="358" spans="1:26" ht="33.75" customHeight="1" x14ac:dyDescent="0.2">
      <c r="A358" s="304"/>
      <c r="B358" s="212" t="s">
        <v>52</v>
      </c>
      <c r="C358" s="117" t="s">
        <v>184</v>
      </c>
      <c r="D358" s="72" t="s">
        <v>135</v>
      </c>
      <c r="E358" s="72" t="s">
        <v>135</v>
      </c>
      <c r="F358" s="72" t="s">
        <v>135</v>
      </c>
      <c r="G358" s="72" t="s">
        <v>18</v>
      </c>
      <c r="H358" s="67" t="s">
        <v>135</v>
      </c>
      <c r="I358" s="214" t="s">
        <v>53</v>
      </c>
      <c r="J358" s="118">
        <f t="shared" ref="J358:Z358" si="158">J359</f>
        <v>640872</v>
      </c>
      <c r="K358" s="209">
        <f t="shared" si="158"/>
        <v>0</v>
      </c>
      <c r="L358" s="216">
        <f t="shared" si="158"/>
        <v>0</v>
      </c>
      <c r="M358" s="216">
        <f t="shared" si="158"/>
        <v>0</v>
      </c>
      <c r="N358" s="68">
        <f t="shared" si="158"/>
        <v>0</v>
      </c>
      <c r="O358" s="216">
        <f t="shared" si="158"/>
        <v>973060.09</v>
      </c>
      <c r="P358" s="216">
        <f t="shared" si="158"/>
        <v>0</v>
      </c>
      <c r="Q358" s="216">
        <f t="shared" si="158"/>
        <v>65523.6</v>
      </c>
      <c r="R358" s="68">
        <f t="shared" si="158"/>
        <v>65523.6</v>
      </c>
      <c r="S358" s="216">
        <f t="shared" si="158"/>
        <v>973060.09</v>
      </c>
      <c r="T358" s="216">
        <f t="shared" si="158"/>
        <v>989560.09</v>
      </c>
      <c r="U358" s="216">
        <f t="shared" si="158"/>
        <v>0</v>
      </c>
      <c r="V358" s="216">
        <f t="shared" si="158"/>
        <v>0</v>
      </c>
      <c r="W358" s="216">
        <f t="shared" si="158"/>
        <v>973060.09</v>
      </c>
      <c r="X358" s="216">
        <f t="shared" si="158"/>
        <v>989560.09</v>
      </c>
      <c r="Y358" s="215">
        <f t="shared" si="158"/>
        <v>0</v>
      </c>
      <c r="Z358" s="216">
        <f t="shared" si="158"/>
        <v>989560.09</v>
      </c>
    </row>
    <row r="359" spans="1:26" ht="27" customHeight="1" x14ac:dyDescent="0.2">
      <c r="A359" s="304"/>
      <c r="B359" s="212" t="s">
        <v>54</v>
      </c>
      <c r="C359" s="117" t="s">
        <v>184</v>
      </c>
      <c r="D359" s="72" t="s">
        <v>135</v>
      </c>
      <c r="E359" s="72" t="s">
        <v>135</v>
      </c>
      <c r="F359" s="72" t="s">
        <v>135</v>
      </c>
      <c r="G359" s="72" t="s">
        <v>18</v>
      </c>
      <c r="H359" s="67" t="s">
        <v>135</v>
      </c>
      <c r="I359" s="214" t="s">
        <v>55</v>
      </c>
      <c r="J359" s="118">
        <v>640872</v>
      </c>
      <c r="K359" s="209">
        <v>0</v>
      </c>
      <c r="L359" s="216">
        <v>0</v>
      </c>
      <c r="M359" s="68">
        <v>0</v>
      </c>
      <c r="N359" s="215">
        <v>0</v>
      </c>
      <c r="O359" s="216">
        <f>809560.09+14000+149500</f>
        <v>973060.09</v>
      </c>
      <c r="P359" s="216">
        <v>0</v>
      </c>
      <c r="Q359" s="216">
        <v>65523.6</v>
      </c>
      <c r="R359" s="68">
        <f>Q359</f>
        <v>65523.6</v>
      </c>
      <c r="S359" s="216">
        <f>809560.09+14000+149500</f>
        <v>973060.09</v>
      </c>
      <c r="T359" s="216">
        <f>820560.09+19500+149500</f>
        <v>989560.09</v>
      </c>
      <c r="U359" s="216">
        <v>0</v>
      </c>
      <c r="V359" s="216">
        <v>0</v>
      </c>
      <c r="W359" s="216">
        <f>809560.09+14000+149500</f>
        <v>973060.09</v>
      </c>
      <c r="X359" s="216">
        <f>820560.09+19500+149500</f>
        <v>989560.09</v>
      </c>
      <c r="Y359" s="215">
        <v>0</v>
      </c>
      <c r="Z359" s="216">
        <f>820560.09+19500+149500</f>
        <v>989560.09</v>
      </c>
    </row>
    <row r="360" spans="1:26" ht="49.5" customHeight="1" x14ac:dyDescent="0.2">
      <c r="A360" s="304"/>
      <c r="B360" s="469" t="s">
        <v>393</v>
      </c>
      <c r="C360" s="103" t="s">
        <v>184</v>
      </c>
      <c r="D360" s="66" t="s">
        <v>135</v>
      </c>
      <c r="E360" s="66" t="s">
        <v>135</v>
      </c>
      <c r="F360" s="66" t="s">
        <v>135</v>
      </c>
      <c r="G360" s="66" t="s">
        <v>211</v>
      </c>
      <c r="H360" s="67" t="s">
        <v>133</v>
      </c>
      <c r="I360" s="214"/>
      <c r="J360" s="68"/>
      <c r="K360" s="69"/>
      <c r="L360" s="216">
        <f>L361</f>
        <v>0</v>
      </c>
      <c r="M360" s="216">
        <f>M361</f>
        <v>184116316</v>
      </c>
      <c r="N360" s="216">
        <f t="shared" ref="N360:Z361" si="159">N361</f>
        <v>184116316</v>
      </c>
      <c r="O360" s="216">
        <f t="shared" si="159"/>
        <v>0</v>
      </c>
      <c r="P360" s="216">
        <f t="shared" si="159"/>
        <v>0</v>
      </c>
      <c r="Q360" s="216">
        <f t="shared" si="159"/>
        <v>0</v>
      </c>
      <c r="R360" s="217">
        <f t="shared" si="159"/>
        <v>184116316</v>
      </c>
      <c r="S360" s="216">
        <f t="shared" si="159"/>
        <v>0</v>
      </c>
      <c r="T360" s="216">
        <f t="shared" si="159"/>
        <v>0</v>
      </c>
      <c r="U360" s="216">
        <f t="shared" si="159"/>
        <v>0</v>
      </c>
      <c r="V360" s="216">
        <f t="shared" si="159"/>
        <v>0</v>
      </c>
      <c r="W360" s="216">
        <f t="shared" si="159"/>
        <v>0</v>
      </c>
      <c r="X360" s="216">
        <f t="shared" si="159"/>
        <v>0</v>
      </c>
      <c r="Y360" s="215">
        <f t="shared" si="159"/>
        <v>0</v>
      </c>
      <c r="Z360" s="216">
        <f t="shared" si="159"/>
        <v>0</v>
      </c>
    </row>
    <row r="361" spans="1:26" ht="27" customHeight="1" x14ac:dyDescent="0.2">
      <c r="A361" s="304"/>
      <c r="B361" s="363" t="s">
        <v>187</v>
      </c>
      <c r="C361" s="103" t="s">
        <v>184</v>
      </c>
      <c r="D361" s="66" t="s">
        <v>135</v>
      </c>
      <c r="E361" s="66" t="s">
        <v>135</v>
      </c>
      <c r="F361" s="66" t="s">
        <v>135</v>
      </c>
      <c r="G361" s="66" t="s">
        <v>211</v>
      </c>
      <c r="H361" s="67" t="s">
        <v>133</v>
      </c>
      <c r="I361" s="214" t="s">
        <v>160</v>
      </c>
      <c r="J361" s="68"/>
      <c r="K361" s="69"/>
      <c r="L361" s="216">
        <f>L362</f>
        <v>0</v>
      </c>
      <c r="M361" s="216">
        <f>M362</f>
        <v>184116316</v>
      </c>
      <c r="N361" s="216">
        <f t="shared" si="159"/>
        <v>184116316</v>
      </c>
      <c r="O361" s="216">
        <f t="shared" si="159"/>
        <v>0</v>
      </c>
      <c r="P361" s="216">
        <f t="shared" si="159"/>
        <v>0</v>
      </c>
      <c r="Q361" s="216">
        <f t="shared" si="159"/>
        <v>0</v>
      </c>
      <c r="R361" s="217">
        <f t="shared" si="159"/>
        <v>184116316</v>
      </c>
      <c r="S361" s="216">
        <f t="shared" si="159"/>
        <v>0</v>
      </c>
      <c r="T361" s="216">
        <f t="shared" si="159"/>
        <v>0</v>
      </c>
      <c r="U361" s="216">
        <f t="shared" si="159"/>
        <v>0</v>
      </c>
      <c r="V361" s="216">
        <f t="shared" si="159"/>
        <v>0</v>
      </c>
      <c r="W361" s="216">
        <f t="shared" si="159"/>
        <v>0</v>
      </c>
      <c r="X361" s="216">
        <f t="shared" si="159"/>
        <v>0</v>
      </c>
      <c r="Y361" s="215">
        <f t="shared" si="159"/>
        <v>0</v>
      </c>
      <c r="Z361" s="216">
        <f t="shared" si="159"/>
        <v>0</v>
      </c>
    </row>
    <row r="362" spans="1:26" ht="27" customHeight="1" x14ac:dyDescent="0.2">
      <c r="A362" s="304"/>
      <c r="B362" s="364" t="s">
        <v>162</v>
      </c>
      <c r="C362" s="103" t="s">
        <v>184</v>
      </c>
      <c r="D362" s="66" t="s">
        <v>135</v>
      </c>
      <c r="E362" s="66" t="s">
        <v>135</v>
      </c>
      <c r="F362" s="66" t="s">
        <v>135</v>
      </c>
      <c r="G362" s="66" t="s">
        <v>211</v>
      </c>
      <c r="H362" s="67" t="s">
        <v>133</v>
      </c>
      <c r="I362" s="214" t="s">
        <v>161</v>
      </c>
      <c r="J362" s="68"/>
      <c r="K362" s="69"/>
      <c r="L362" s="216">
        <v>0</v>
      </c>
      <c r="M362" s="216">
        <f>182281920+1834396</f>
        <v>184116316</v>
      </c>
      <c r="N362" s="216">
        <f>M362</f>
        <v>184116316</v>
      </c>
      <c r="O362" s="216">
        <v>0</v>
      </c>
      <c r="P362" s="216">
        <v>0</v>
      </c>
      <c r="Q362" s="216">
        <f>P362</f>
        <v>0</v>
      </c>
      <c r="R362" s="217">
        <v>184116316</v>
      </c>
      <c r="S362" s="216">
        <v>0</v>
      </c>
      <c r="T362" s="216">
        <v>0</v>
      </c>
      <c r="U362" s="216">
        <v>0</v>
      </c>
      <c r="V362" s="216">
        <v>0</v>
      </c>
      <c r="W362" s="216">
        <v>0</v>
      </c>
      <c r="X362" s="216">
        <v>0</v>
      </c>
      <c r="Y362" s="215">
        <v>0</v>
      </c>
      <c r="Z362" s="216">
        <v>0</v>
      </c>
    </row>
    <row r="363" spans="1:26" ht="27" customHeight="1" x14ac:dyDescent="0.2">
      <c r="A363" s="304"/>
      <c r="B363" s="469" t="s">
        <v>347</v>
      </c>
      <c r="C363" s="103" t="s">
        <v>184</v>
      </c>
      <c r="D363" s="66" t="s">
        <v>135</v>
      </c>
      <c r="E363" s="66" t="s">
        <v>135</v>
      </c>
      <c r="F363" s="66" t="s">
        <v>135</v>
      </c>
      <c r="G363" s="66" t="s">
        <v>389</v>
      </c>
      <c r="H363" s="67" t="s">
        <v>135</v>
      </c>
      <c r="I363" s="214"/>
      <c r="J363" s="68"/>
      <c r="K363" s="69"/>
      <c r="L363" s="216">
        <f>L368</f>
        <v>0</v>
      </c>
      <c r="M363" s="216">
        <f>M368</f>
        <v>184116316</v>
      </c>
      <c r="N363" s="216">
        <f>N368+N364+N366</f>
        <v>4858320</v>
      </c>
      <c r="O363" s="216">
        <f t="shared" ref="O363:Z363" si="160">O368+O364+O366</f>
        <v>0</v>
      </c>
      <c r="P363" s="216">
        <f t="shared" si="160"/>
        <v>0</v>
      </c>
      <c r="Q363" s="216">
        <f t="shared" si="160"/>
        <v>1558277</v>
      </c>
      <c r="R363" s="216">
        <f t="shared" si="160"/>
        <v>6416597</v>
      </c>
      <c r="S363" s="216">
        <f t="shared" si="160"/>
        <v>0</v>
      </c>
      <c r="T363" s="216">
        <f t="shared" si="160"/>
        <v>0</v>
      </c>
      <c r="U363" s="216">
        <f t="shared" si="160"/>
        <v>0</v>
      </c>
      <c r="V363" s="216">
        <f t="shared" si="160"/>
        <v>0</v>
      </c>
      <c r="W363" s="216">
        <f t="shared" si="160"/>
        <v>0</v>
      </c>
      <c r="X363" s="216">
        <f t="shared" si="160"/>
        <v>0</v>
      </c>
      <c r="Y363" s="215">
        <f t="shared" si="160"/>
        <v>0</v>
      </c>
      <c r="Z363" s="216">
        <f t="shared" si="160"/>
        <v>0</v>
      </c>
    </row>
    <row r="364" spans="1:26" ht="60.75" customHeight="1" x14ac:dyDescent="0.2">
      <c r="A364" s="304"/>
      <c r="B364" s="212" t="s">
        <v>67</v>
      </c>
      <c r="C364" s="103" t="s">
        <v>184</v>
      </c>
      <c r="D364" s="66" t="s">
        <v>135</v>
      </c>
      <c r="E364" s="66" t="s">
        <v>135</v>
      </c>
      <c r="F364" s="66" t="s">
        <v>135</v>
      </c>
      <c r="G364" s="66" t="s">
        <v>389</v>
      </c>
      <c r="H364" s="67" t="s">
        <v>135</v>
      </c>
      <c r="I364" s="214" t="s">
        <v>60</v>
      </c>
      <c r="J364" s="68"/>
      <c r="K364" s="69"/>
      <c r="L364" s="216"/>
      <c r="M364" s="216"/>
      <c r="N364" s="216">
        <f t="shared" ref="L364:Z368" si="161">N365</f>
        <v>225000</v>
      </c>
      <c r="O364" s="216">
        <f t="shared" si="161"/>
        <v>0</v>
      </c>
      <c r="P364" s="216">
        <f t="shared" si="161"/>
        <v>0</v>
      </c>
      <c r="Q364" s="216">
        <f t="shared" si="161"/>
        <v>0</v>
      </c>
      <c r="R364" s="216">
        <f t="shared" si="161"/>
        <v>225000</v>
      </c>
      <c r="S364" s="216">
        <f t="shared" si="161"/>
        <v>0</v>
      </c>
      <c r="T364" s="216">
        <f t="shared" si="161"/>
        <v>0</v>
      </c>
      <c r="U364" s="215">
        <f t="shared" si="161"/>
        <v>0</v>
      </c>
      <c r="V364" s="216">
        <f t="shared" si="161"/>
        <v>0</v>
      </c>
      <c r="W364" s="217">
        <f t="shared" si="161"/>
        <v>0</v>
      </c>
      <c r="X364" s="216">
        <f t="shared" si="161"/>
        <v>0</v>
      </c>
      <c r="Y364" s="215">
        <f t="shared" si="161"/>
        <v>0</v>
      </c>
      <c r="Z364" s="216">
        <f t="shared" si="161"/>
        <v>0</v>
      </c>
    </row>
    <row r="365" spans="1:26" ht="32.25" customHeight="1" x14ac:dyDescent="0.2">
      <c r="A365" s="304"/>
      <c r="B365" s="212" t="s">
        <v>61</v>
      </c>
      <c r="C365" s="103" t="s">
        <v>184</v>
      </c>
      <c r="D365" s="66" t="s">
        <v>135</v>
      </c>
      <c r="E365" s="66" t="s">
        <v>135</v>
      </c>
      <c r="F365" s="66" t="s">
        <v>135</v>
      </c>
      <c r="G365" s="66" t="s">
        <v>389</v>
      </c>
      <c r="H365" s="67" t="s">
        <v>135</v>
      </c>
      <c r="I365" s="214" t="s">
        <v>171</v>
      </c>
      <c r="J365" s="68"/>
      <c r="K365" s="69"/>
      <c r="L365" s="216"/>
      <c r="M365" s="216"/>
      <c r="N365" s="216">
        <v>225000</v>
      </c>
      <c r="O365" s="216">
        <v>0</v>
      </c>
      <c r="P365" s="216">
        <v>0</v>
      </c>
      <c r="Q365" s="216">
        <v>0</v>
      </c>
      <c r="R365" s="216">
        <f>N365</f>
        <v>225000</v>
      </c>
      <c r="S365" s="216">
        <v>0</v>
      </c>
      <c r="T365" s="216">
        <v>0</v>
      </c>
      <c r="U365" s="215">
        <v>0</v>
      </c>
      <c r="V365" s="216">
        <v>0</v>
      </c>
      <c r="W365" s="217">
        <v>0</v>
      </c>
      <c r="X365" s="216">
        <v>0</v>
      </c>
      <c r="Y365" s="215">
        <v>0</v>
      </c>
      <c r="Z365" s="216">
        <v>0</v>
      </c>
    </row>
    <row r="366" spans="1:26" ht="27" customHeight="1" x14ac:dyDescent="0.2">
      <c r="A366" s="304"/>
      <c r="B366" s="212" t="s">
        <v>52</v>
      </c>
      <c r="C366" s="103" t="s">
        <v>184</v>
      </c>
      <c r="D366" s="66" t="s">
        <v>135</v>
      </c>
      <c r="E366" s="66" t="s">
        <v>135</v>
      </c>
      <c r="F366" s="66" t="s">
        <v>135</v>
      </c>
      <c r="G366" s="66" t="s">
        <v>389</v>
      </c>
      <c r="H366" s="67" t="s">
        <v>135</v>
      </c>
      <c r="I366" s="214" t="s">
        <v>53</v>
      </c>
      <c r="J366" s="68"/>
      <c r="K366" s="69"/>
      <c r="L366" s="216"/>
      <c r="M366" s="216"/>
      <c r="N366" s="216">
        <f t="shared" si="161"/>
        <v>325000</v>
      </c>
      <c r="O366" s="216">
        <f t="shared" si="161"/>
        <v>0</v>
      </c>
      <c r="P366" s="216">
        <f t="shared" si="161"/>
        <v>0</v>
      </c>
      <c r="Q366" s="216">
        <f t="shared" si="161"/>
        <v>0</v>
      </c>
      <c r="R366" s="216">
        <f t="shared" si="161"/>
        <v>325000</v>
      </c>
      <c r="S366" s="216">
        <f t="shared" si="161"/>
        <v>0</v>
      </c>
      <c r="T366" s="216">
        <f t="shared" si="161"/>
        <v>0</v>
      </c>
      <c r="U366" s="215">
        <f t="shared" si="161"/>
        <v>0</v>
      </c>
      <c r="V366" s="216">
        <f t="shared" si="161"/>
        <v>0</v>
      </c>
      <c r="W366" s="217">
        <f t="shared" si="161"/>
        <v>0</v>
      </c>
      <c r="X366" s="216">
        <f t="shared" si="161"/>
        <v>0</v>
      </c>
      <c r="Y366" s="215">
        <f t="shared" si="161"/>
        <v>0</v>
      </c>
      <c r="Z366" s="216">
        <f t="shared" si="161"/>
        <v>0</v>
      </c>
    </row>
    <row r="367" spans="1:26" ht="27" customHeight="1" x14ac:dyDescent="0.2">
      <c r="A367" s="304"/>
      <c r="B367" s="212" t="s">
        <v>54</v>
      </c>
      <c r="C367" s="103" t="s">
        <v>184</v>
      </c>
      <c r="D367" s="66" t="s">
        <v>135</v>
      </c>
      <c r="E367" s="66" t="s">
        <v>135</v>
      </c>
      <c r="F367" s="66" t="s">
        <v>135</v>
      </c>
      <c r="G367" s="66" t="s">
        <v>389</v>
      </c>
      <c r="H367" s="67" t="s">
        <v>135</v>
      </c>
      <c r="I367" s="214" t="s">
        <v>55</v>
      </c>
      <c r="J367" s="68"/>
      <c r="K367" s="69"/>
      <c r="L367" s="216"/>
      <c r="M367" s="216"/>
      <c r="N367" s="216">
        <v>325000</v>
      </c>
      <c r="O367" s="216">
        <v>0</v>
      </c>
      <c r="P367" s="216">
        <v>0</v>
      </c>
      <c r="Q367" s="216">
        <v>0</v>
      </c>
      <c r="R367" s="216">
        <f>N367</f>
        <v>325000</v>
      </c>
      <c r="S367" s="216">
        <v>0</v>
      </c>
      <c r="T367" s="216">
        <v>0</v>
      </c>
      <c r="U367" s="215">
        <v>0</v>
      </c>
      <c r="V367" s="216">
        <v>0</v>
      </c>
      <c r="W367" s="217">
        <v>0</v>
      </c>
      <c r="X367" s="216">
        <v>0</v>
      </c>
      <c r="Y367" s="215">
        <v>0</v>
      </c>
      <c r="Z367" s="216">
        <v>0</v>
      </c>
    </row>
    <row r="368" spans="1:26" ht="27" customHeight="1" x14ac:dyDescent="0.2">
      <c r="A368" s="304"/>
      <c r="B368" s="363" t="s">
        <v>187</v>
      </c>
      <c r="C368" s="103" t="s">
        <v>184</v>
      </c>
      <c r="D368" s="66" t="s">
        <v>135</v>
      </c>
      <c r="E368" s="66" t="s">
        <v>135</v>
      </c>
      <c r="F368" s="66" t="s">
        <v>135</v>
      </c>
      <c r="G368" s="66" t="s">
        <v>389</v>
      </c>
      <c r="H368" s="67" t="s">
        <v>135</v>
      </c>
      <c r="I368" s="214" t="s">
        <v>160</v>
      </c>
      <c r="J368" s="68"/>
      <c r="K368" s="69"/>
      <c r="L368" s="216">
        <f t="shared" si="161"/>
        <v>0</v>
      </c>
      <c r="M368" s="216">
        <f t="shared" si="161"/>
        <v>184116316</v>
      </c>
      <c r="N368" s="216">
        <f t="shared" si="161"/>
        <v>4308320</v>
      </c>
      <c r="O368" s="216">
        <f t="shared" si="161"/>
        <v>0</v>
      </c>
      <c r="P368" s="216">
        <f t="shared" si="161"/>
        <v>0</v>
      </c>
      <c r="Q368" s="216">
        <f t="shared" si="161"/>
        <v>1558277</v>
      </c>
      <c r="R368" s="216">
        <f t="shared" si="161"/>
        <v>5866597</v>
      </c>
      <c r="S368" s="216">
        <f t="shared" si="161"/>
        <v>0</v>
      </c>
      <c r="T368" s="216">
        <f t="shared" si="161"/>
        <v>0</v>
      </c>
      <c r="U368" s="215">
        <f t="shared" si="161"/>
        <v>0</v>
      </c>
      <c r="V368" s="216">
        <f t="shared" si="161"/>
        <v>0</v>
      </c>
      <c r="W368" s="217">
        <f t="shared" si="161"/>
        <v>0</v>
      </c>
      <c r="X368" s="216">
        <f t="shared" si="161"/>
        <v>0</v>
      </c>
      <c r="Y368" s="215">
        <f t="shared" si="161"/>
        <v>0</v>
      </c>
      <c r="Z368" s="216">
        <f t="shared" si="161"/>
        <v>0</v>
      </c>
    </row>
    <row r="369" spans="1:26" ht="27" customHeight="1" x14ac:dyDescent="0.2">
      <c r="A369" s="304"/>
      <c r="B369" s="364" t="s">
        <v>162</v>
      </c>
      <c r="C369" s="103" t="s">
        <v>184</v>
      </c>
      <c r="D369" s="66" t="s">
        <v>135</v>
      </c>
      <c r="E369" s="66" t="s">
        <v>135</v>
      </c>
      <c r="F369" s="66" t="s">
        <v>135</v>
      </c>
      <c r="G369" s="66" t="s">
        <v>389</v>
      </c>
      <c r="H369" s="67" t="s">
        <v>135</v>
      </c>
      <c r="I369" s="214" t="s">
        <v>161</v>
      </c>
      <c r="J369" s="68"/>
      <c r="K369" s="69"/>
      <c r="L369" s="216">
        <v>0</v>
      </c>
      <c r="M369" s="216">
        <f>182281920+1834396</f>
        <v>184116316</v>
      </c>
      <c r="N369" s="216">
        <v>4308320</v>
      </c>
      <c r="O369" s="216">
        <v>0</v>
      </c>
      <c r="P369" s="216">
        <v>0</v>
      </c>
      <c r="Q369" s="216">
        <f>372070+1186207</f>
        <v>1558277</v>
      </c>
      <c r="R369" s="216">
        <f>Q369+N369</f>
        <v>5866597</v>
      </c>
      <c r="S369" s="216">
        <v>0</v>
      </c>
      <c r="T369" s="216">
        <v>0</v>
      </c>
      <c r="U369" s="215">
        <v>0</v>
      </c>
      <c r="V369" s="216">
        <v>0</v>
      </c>
      <c r="W369" s="217">
        <v>0</v>
      </c>
      <c r="X369" s="216">
        <v>0</v>
      </c>
      <c r="Y369" s="215">
        <v>0</v>
      </c>
      <c r="Z369" s="216">
        <v>0</v>
      </c>
    </row>
    <row r="370" spans="1:26" ht="15" customHeight="1" x14ac:dyDescent="0.2">
      <c r="A370" s="304"/>
      <c r="B370" s="280"/>
      <c r="C370" s="103"/>
      <c r="D370" s="66"/>
      <c r="E370" s="66"/>
      <c r="F370" s="66"/>
      <c r="G370" s="66"/>
      <c r="H370" s="67"/>
      <c r="I370" s="307"/>
      <c r="J370" s="118"/>
      <c r="K370" s="209"/>
      <c r="L370" s="265"/>
      <c r="M370" s="288"/>
      <c r="N370" s="264"/>
      <c r="O370" s="265"/>
      <c r="P370" s="265"/>
      <c r="Q370" s="265"/>
      <c r="R370" s="288"/>
      <c r="S370" s="265"/>
      <c r="T370" s="265"/>
      <c r="U370" s="265"/>
      <c r="V370" s="265"/>
      <c r="W370" s="265"/>
      <c r="X370" s="265"/>
      <c r="Y370" s="264"/>
      <c r="Z370" s="265"/>
    </row>
    <row r="371" spans="1:26" ht="51.75" customHeight="1" x14ac:dyDescent="0.25">
      <c r="A371" s="304"/>
      <c r="B371" s="470" t="s">
        <v>384</v>
      </c>
      <c r="C371" s="308" t="s">
        <v>194</v>
      </c>
      <c r="D371" s="253" t="s">
        <v>135</v>
      </c>
      <c r="E371" s="253" t="s">
        <v>135</v>
      </c>
      <c r="F371" s="253" t="s">
        <v>135</v>
      </c>
      <c r="G371" s="253" t="s">
        <v>136</v>
      </c>
      <c r="H371" s="240" t="s">
        <v>135</v>
      </c>
      <c r="I371" s="340"/>
      <c r="J371" s="254" t="e">
        <f>#REF!+J372+#REF!</f>
        <v>#REF!</v>
      </c>
      <c r="K371" s="255" t="e">
        <f>#REF!+K372+#REF!</f>
        <v>#REF!</v>
      </c>
      <c r="L371" s="255">
        <f t="shared" ref="L371:X371" si="162">L372+L380+L377</f>
        <v>5336879.57</v>
      </c>
      <c r="M371" s="255">
        <f t="shared" si="162"/>
        <v>0</v>
      </c>
      <c r="N371" s="255">
        <f t="shared" si="162"/>
        <v>5336879.57</v>
      </c>
      <c r="O371" s="256">
        <f t="shared" si="162"/>
        <v>3850212.0200000005</v>
      </c>
      <c r="P371" s="256">
        <f t="shared" si="162"/>
        <v>0</v>
      </c>
      <c r="Q371" s="255">
        <f>Q372+Q380+Q377</f>
        <v>0</v>
      </c>
      <c r="R371" s="255">
        <f>R372+R380+R377</f>
        <v>5336879.57</v>
      </c>
      <c r="S371" s="256">
        <f t="shared" si="162"/>
        <v>3850212.0200000005</v>
      </c>
      <c r="T371" s="256">
        <f t="shared" si="162"/>
        <v>3850212.0200000005</v>
      </c>
      <c r="U371" s="256">
        <f t="shared" si="162"/>
        <v>0</v>
      </c>
      <c r="V371" s="256">
        <f>V372+V380+V377</f>
        <v>0</v>
      </c>
      <c r="W371" s="256">
        <f>W372+W380+W377</f>
        <v>3850212.0200000005</v>
      </c>
      <c r="X371" s="256">
        <f t="shared" si="162"/>
        <v>3850212.0200000005</v>
      </c>
      <c r="Y371" s="255">
        <f>Y372+Y380+Y377</f>
        <v>0</v>
      </c>
      <c r="Z371" s="256">
        <f>Z372+Z380+Z377</f>
        <v>3850212.0200000005</v>
      </c>
    </row>
    <row r="372" spans="1:26" ht="29.25" customHeight="1" x14ac:dyDescent="0.2">
      <c r="A372" s="304"/>
      <c r="B372" s="258" t="s">
        <v>195</v>
      </c>
      <c r="C372" s="77" t="s">
        <v>194</v>
      </c>
      <c r="D372" s="79" t="s">
        <v>135</v>
      </c>
      <c r="E372" s="66" t="s">
        <v>135</v>
      </c>
      <c r="F372" s="66" t="s">
        <v>135</v>
      </c>
      <c r="G372" s="79" t="s">
        <v>169</v>
      </c>
      <c r="H372" s="66" t="s">
        <v>135</v>
      </c>
      <c r="I372" s="260"/>
      <c r="J372" s="118">
        <f>J375</f>
        <v>2073576.66</v>
      </c>
      <c r="K372" s="209">
        <f>K375</f>
        <v>0</v>
      </c>
      <c r="L372" s="209">
        <f t="shared" ref="L372:X372" si="163">L375+L373</f>
        <v>2073600</v>
      </c>
      <c r="M372" s="209">
        <f t="shared" si="163"/>
        <v>0</v>
      </c>
      <c r="N372" s="209">
        <f t="shared" si="163"/>
        <v>2073600</v>
      </c>
      <c r="O372" s="210">
        <f t="shared" si="163"/>
        <v>1057147.5</v>
      </c>
      <c r="P372" s="210">
        <f t="shared" si="163"/>
        <v>0</v>
      </c>
      <c r="Q372" s="209">
        <f>Q375+Q373</f>
        <v>0</v>
      </c>
      <c r="R372" s="209">
        <f>R375+R373</f>
        <v>2073600</v>
      </c>
      <c r="S372" s="210">
        <f t="shared" si="163"/>
        <v>1057147.5</v>
      </c>
      <c r="T372" s="210">
        <f t="shared" si="163"/>
        <v>1057147.5</v>
      </c>
      <c r="U372" s="210">
        <f t="shared" si="163"/>
        <v>0</v>
      </c>
      <c r="V372" s="210">
        <f>V375+V373</f>
        <v>0</v>
      </c>
      <c r="W372" s="210">
        <f>W375+W373</f>
        <v>1057147.5</v>
      </c>
      <c r="X372" s="210">
        <f t="shared" si="163"/>
        <v>1057147.5</v>
      </c>
      <c r="Y372" s="209">
        <f>Y375+Y373</f>
        <v>0</v>
      </c>
      <c r="Z372" s="210">
        <f>Z375+Z373</f>
        <v>1057147.5</v>
      </c>
    </row>
    <row r="373" spans="1:26" ht="38.25" customHeight="1" x14ac:dyDescent="0.2">
      <c r="A373" s="304"/>
      <c r="B373" s="258" t="s">
        <v>21</v>
      </c>
      <c r="C373" s="77" t="s">
        <v>194</v>
      </c>
      <c r="D373" s="79" t="s">
        <v>135</v>
      </c>
      <c r="E373" s="66" t="s">
        <v>135</v>
      </c>
      <c r="F373" s="66" t="s">
        <v>135</v>
      </c>
      <c r="G373" s="79" t="s">
        <v>169</v>
      </c>
      <c r="H373" s="66" t="s">
        <v>135</v>
      </c>
      <c r="I373" s="260" t="s">
        <v>149</v>
      </c>
      <c r="J373" s="118"/>
      <c r="K373" s="209"/>
      <c r="L373" s="224">
        <f t="shared" ref="L373:Z373" si="164">L374</f>
        <v>808704</v>
      </c>
      <c r="M373" s="224">
        <f t="shared" si="164"/>
        <v>0</v>
      </c>
      <c r="N373" s="224">
        <f t="shared" si="164"/>
        <v>808704</v>
      </c>
      <c r="O373" s="224">
        <f t="shared" si="164"/>
        <v>412287.53</v>
      </c>
      <c r="P373" s="224">
        <f t="shared" si="164"/>
        <v>0</v>
      </c>
      <c r="Q373" s="224">
        <f t="shared" si="164"/>
        <v>0</v>
      </c>
      <c r="R373" s="224">
        <f t="shared" si="164"/>
        <v>808704</v>
      </c>
      <c r="S373" s="224">
        <f t="shared" si="164"/>
        <v>412287.53</v>
      </c>
      <c r="T373" s="224">
        <f t="shared" si="164"/>
        <v>412287.53</v>
      </c>
      <c r="U373" s="224">
        <f t="shared" si="164"/>
        <v>0</v>
      </c>
      <c r="V373" s="224">
        <f t="shared" si="164"/>
        <v>0</v>
      </c>
      <c r="W373" s="224">
        <f t="shared" si="164"/>
        <v>412287.53</v>
      </c>
      <c r="X373" s="224">
        <f t="shared" si="164"/>
        <v>412287.53</v>
      </c>
      <c r="Y373" s="223">
        <f t="shared" si="164"/>
        <v>0</v>
      </c>
      <c r="Z373" s="224">
        <f t="shared" si="164"/>
        <v>412287.53</v>
      </c>
    </row>
    <row r="374" spans="1:26" ht="48" customHeight="1" x14ac:dyDescent="0.2">
      <c r="A374" s="304"/>
      <c r="B374" s="258" t="s">
        <v>209</v>
      </c>
      <c r="C374" s="77" t="s">
        <v>194</v>
      </c>
      <c r="D374" s="79" t="s">
        <v>135</v>
      </c>
      <c r="E374" s="66" t="s">
        <v>135</v>
      </c>
      <c r="F374" s="66" t="s">
        <v>135</v>
      </c>
      <c r="G374" s="79" t="s">
        <v>169</v>
      </c>
      <c r="H374" s="66" t="s">
        <v>135</v>
      </c>
      <c r="I374" s="260" t="s">
        <v>156</v>
      </c>
      <c r="J374" s="118"/>
      <c r="K374" s="209"/>
      <c r="L374" s="224">
        <v>808704</v>
      </c>
      <c r="M374" s="224">
        <v>0</v>
      </c>
      <c r="N374" s="224">
        <v>808704</v>
      </c>
      <c r="O374" s="224">
        <v>412287.53</v>
      </c>
      <c r="P374" s="224">
        <v>0</v>
      </c>
      <c r="Q374" s="224">
        <v>0</v>
      </c>
      <c r="R374" s="224">
        <v>808704</v>
      </c>
      <c r="S374" s="224">
        <v>412287.53</v>
      </c>
      <c r="T374" s="224">
        <v>412287.53</v>
      </c>
      <c r="U374" s="224">
        <v>0</v>
      </c>
      <c r="V374" s="224">
        <v>0</v>
      </c>
      <c r="W374" s="224">
        <v>412287.53</v>
      </c>
      <c r="X374" s="224">
        <v>412287.53</v>
      </c>
      <c r="Y374" s="223">
        <v>0</v>
      </c>
      <c r="Z374" s="224">
        <v>412287.53</v>
      </c>
    </row>
    <row r="375" spans="1:26" ht="16.5" customHeight="1" x14ac:dyDescent="0.2">
      <c r="A375" s="304"/>
      <c r="B375" s="212" t="s">
        <v>62</v>
      </c>
      <c r="C375" s="77" t="s">
        <v>194</v>
      </c>
      <c r="D375" s="79" t="s">
        <v>135</v>
      </c>
      <c r="E375" s="66" t="s">
        <v>135</v>
      </c>
      <c r="F375" s="66" t="s">
        <v>135</v>
      </c>
      <c r="G375" s="79" t="s">
        <v>169</v>
      </c>
      <c r="H375" s="66" t="s">
        <v>135</v>
      </c>
      <c r="I375" s="260" t="s">
        <v>63</v>
      </c>
      <c r="J375" s="118">
        <f t="shared" ref="J375:Z375" si="165">J376</f>
        <v>2073576.66</v>
      </c>
      <c r="K375" s="209">
        <f t="shared" si="165"/>
        <v>0</v>
      </c>
      <c r="L375" s="224">
        <f t="shared" si="165"/>
        <v>1264896</v>
      </c>
      <c r="M375" s="224">
        <f t="shared" si="165"/>
        <v>0</v>
      </c>
      <c r="N375" s="224">
        <f t="shared" si="165"/>
        <v>1264896</v>
      </c>
      <c r="O375" s="224">
        <f t="shared" si="165"/>
        <v>644859.97</v>
      </c>
      <c r="P375" s="224">
        <f t="shared" si="165"/>
        <v>0</v>
      </c>
      <c r="Q375" s="224">
        <f t="shared" si="165"/>
        <v>0</v>
      </c>
      <c r="R375" s="224">
        <f t="shared" si="165"/>
        <v>1264896</v>
      </c>
      <c r="S375" s="224">
        <f t="shared" si="165"/>
        <v>644859.97</v>
      </c>
      <c r="T375" s="224">
        <f t="shared" si="165"/>
        <v>644859.97</v>
      </c>
      <c r="U375" s="224">
        <f t="shared" si="165"/>
        <v>0</v>
      </c>
      <c r="V375" s="224">
        <f t="shared" si="165"/>
        <v>0</v>
      </c>
      <c r="W375" s="224">
        <f t="shared" si="165"/>
        <v>644859.97</v>
      </c>
      <c r="X375" s="224">
        <f t="shared" si="165"/>
        <v>644859.97</v>
      </c>
      <c r="Y375" s="223">
        <f t="shared" si="165"/>
        <v>0</v>
      </c>
      <c r="Z375" s="224">
        <f t="shared" si="165"/>
        <v>644859.97</v>
      </c>
    </row>
    <row r="376" spans="1:26" ht="45" customHeight="1" x14ac:dyDescent="0.2">
      <c r="A376" s="304"/>
      <c r="B376" s="212" t="s">
        <v>168</v>
      </c>
      <c r="C376" s="77" t="s">
        <v>194</v>
      </c>
      <c r="D376" s="79" t="s">
        <v>135</v>
      </c>
      <c r="E376" s="66" t="s">
        <v>135</v>
      </c>
      <c r="F376" s="66" t="s">
        <v>135</v>
      </c>
      <c r="G376" s="79" t="s">
        <v>169</v>
      </c>
      <c r="H376" s="66" t="s">
        <v>135</v>
      </c>
      <c r="I376" s="260" t="s">
        <v>140</v>
      </c>
      <c r="J376" s="118">
        <v>2073576.66</v>
      </c>
      <c r="K376" s="118">
        <v>0</v>
      </c>
      <c r="L376" s="224">
        <v>1264896</v>
      </c>
      <c r="M376" s="224">
        <v>0</v>
      </c>
      <c r="N376" s="224">
        <v>1264896</v>
      </c>
      <c r="O376" s="224">
        <v>644859.97</v>
      </c>
      <c r="P376" s="224">
        <v>0</v>
      </c>
      <c r="Q376" s="224">
        <v>0</v>
      </c>
      <c r="R376" s="224">
        <v>1264896</v>
      </c>
      <c r="S376" s="224">
        <v>644859.97</v>
      </c>
      <c r="T376" s="225">
        <v>644859.97</v>
      </c>
      <c r="U376" s="225">
        <v>0</v>
      </c>
      <c r="V376" s="224">
        <v>0</v>
      </c>
      <c r="W376" s="224">
        <v>644859.97</v>
      </c>
      <c r="X376" s="225">
        <v>644859.97</v>
      </c>
      <c r="Y376" s="64">
        <v>0</v>
      </c>
      <c r="Z376" s="224">
        <v>644859.97</v>
      </c>
    </row>
    <row r="377" spans="1:26" ht="45" customHeight="1" x14ac:dyDescent="0.2">
      <c r="A377" s="72"/>
      <c r="B377" s="212" t="s">
        <v>282</v>
      </c>
      <c r="C377" s="117" t="s">
        <v>194</v>
      </c>
      <c r="D377" s="72" t="s">
        <v>135</v>
      </c>
      <c r="E377" s="72" t="s">
        <v>135</v>
      </c>
      <c r="F377" s="72" t="s">
        <v>135</v>
      </c>
      <c r="G377" s="72" t="s">
        <v>281</v>
      </c>
      <c r="H377" s="66" t="s">
        <v>135</v>
      </c>
      <c r="I377" s="214"/>
      <c r="J377" s="118">
        <f t="shared" ref="J377:Y378" si="166">J378</f>
        <v>35000</v>
      </c>
      <c r="K377" s="209">
        <f t="shared" si="166"/>
        <v>0</v>
      </c>
      <c r="L377" s="209">
        <f t="shared" si="166"/>
        <v>35000</v>
      </c>
      <c r="M377" s="209">
        <f t="shared" si="166"/>
        <v>0</v>
      </c>
      <c r="N377" s="209">
        <f t="shared" si="166"/>
        <v>35000</v>
      </c>
      <c r="O377" s="210">
        <f t="shared" si="166"/>
        <v>35000</v>
      </c>
      <c r="P377" s="210">
        <f t="shared" si="166"/>
        <v>0</v>
      </c>
      <c r="Q377" s="209">
        <f t="shared" si="166"/>
        <v>0</v>
      </c>
      <c r="R377" s="209">
        <f t="shared" si="166"/>
        <v>35000</v>
      </c>
      <c r="S377" s="210">
        <f t="shared" si="166"/>
        <v>35000</v>
      </c>
      <c r="T377" s="211">
        <f t="shared" si="166"/>
        <v>35000</v>
      </c>
      <c r="U377" s="211">
        <f t="shared" si="166"/>
        <v>0</v>
      </c>
      <c r="V377" s="210">
        <f t="shared" si="166"/>
        <v>0</v>
      </c>
      <c r="W377" s="210">
        <f t="shared" si="166"/>
        <v>35000</v>
      </c>
      <c r="X377" s="211">
        <f t="shared" si="166"/>
        <v>35000</v>
      </c>
      <c r="Y377" s="118">
        <f t="shared" si="166"/>
        <v>0</v>
      </c>
      <c r="Z377" s="210">
        <f>Z378</f>
        <v>35000</v>
      </c>
    </row>
    <row r="378" spans="1:26" ht="36" customHeight="1" x14ac:dyDescent="0.2">
      <c r="A378" s="72"/>
      <c r="B378" s="212" t="s">
        <v>52</v>
      </c>
      <c r="C378" s="103" t="s">
        <v>194</v>
      </c>
      <c r="D378" s="66" t="s">
        <v>135</v>
      </c>
      <c r="E378" s="66" t="s">
        <v>135</v>
      </c>
      <c r="F378" s="66" t="s">
        <v>135</v>
      </c>
      <c r="G378" s="72" t="s">
        <v>281</v>
      </c>
      <c r="H378" s="66" t="s">
        <v>135</v>
      </c>
      <c r="I378" s="214">
        <v>200</v>
      </c>
      <c r="J378" s="118">
        <f t="shared" si="166"/>
        <v>35000</v>
      </c>
      <c r="K378" s="209">
        <f t="shared" si="166"/>
        <v>0</v>
      </c>
      <c r="L378" s="209">
        <f t="shared" si="166"/>
        <v>35000</v>
      </c>
      <c r="M378" s="209">
        <f t="shared" si="166"/>
        <v>0</v>
      </c>
      <c r="N378" s="209">
        <f t="shared" si="166"/>
        <v>35000</v>
      </c>
      <c r="O378" s="210">
        <f t="shared" si="166"/>
        <v>35000</v>
      </c>
      <c r="P378" s="210">
        <f t="shared" si="166"/>
        <v>0</v>
      </c>
      <c r="Q378" s="209">
        <f t="shared" si="166"/>
        <v>0</v>
      </c>
      <c r="R378" s="209">
        <f t="shared" si="166"/>
        <v>35000</v>
      </c>
      <c r="S378" s="210">
        <f t="shared" si="166"/>
        <v>35000</v>
      </c>
      <c r="T378" s="211">
        <f t="shared" si="166"/>
        <v>35000</v>
      </c>
      <c r="U378" s="211">
        <f t="shared" si="166"/>
        <v>0</v>
      </c>
      <c r="V378" s="210">
        <f t="shared" si="166"/>
        <v>0</v>
      </c>
      <c r="W378" s="210">
        <f t="shared" si="166"/>
        <v>35000</v>
      </c>
      <c r="X378" s="211">
        <f t="shared" si="166"/>
        <v>35000</v>
      </c>
      <c r="Y378" s="118">
        <f>Y379</f>
        <v>0</v>
      </c>
      <c r="Z378" s="210">
        <f>Z379</f>
        <v>35000</v>
      </c>
    </row>
    <row r="379" spans="1:26" ht="33.75" customHeight="1" x14ac:dyDescent="0.2">
      <c r="A379" s="72"/>
      <c r="B379" s="212" t="s">
        <v>54</v>
      </c>
      <c r="C379" s="103" t="s">
        <v>194</v>
      </c>
      <c r="D379" s="66" t="s">
        <v>135</v>
      </c>
      <c r="E379" s="66" t="s">
        <v>135</v>
      </c>
      <c r="F379" s="66" t="s">
        <v>135</v>
      </c>
      <c r="G379" s="72" t="s">
        <v>281</v>
      </c>
      <c r="H379" s="66" t="s">
        <v>135</v>
      </c>
      <c r="I379" s="214">
        <v>240</v>
      </c>
      <c r="J379" s="118">
        <v>35000</v>
      </c>
      <c r="K379" s="209">
        <v>0</v>
      </c>
      <c r="L379" s="209">
        <v>35000</v>
      </c>
      <c r="M379" s="209">
        <v>0</v>
      </c>
      <c r="N379" s="209">
        <v>35000</v>
      </c>
      <c r="O379" s="210">
        <v>35000</v>
      </c>
      <c r="P379" s="210">
        <v>0</v>
      </c>
      <c r="Q379" s="209">
        <v>0</v>
      </c>
      <c r="R379" s="209">
        <v>35000</v>
      </c>
      <c r="S379" s="210">
        <v>35000</v>
      </c>
      <c r="T379" s="211">
        <v>35000</v>
      </c>
      <c r="U379" s="211">
        <v>0</v>
      </c>
      <c r="V379" s="210">
        <v>0</v>
      </c>
      <c r="W379" s="210">
        <v>35000</v>
      </c>
      <c r="X379" s="211">
        <v>35000</v>
      </c>
      <c r="Y379" s="118">
        <v>0</v>
      </c>
      <c r="Z379" s="210">
        <v>35000</v>
      </c>
    </row>
    <row r="380" spans="1:26" ht="63" customHeight="1" x14ac:dyDescent="0.2">
      <c r="A380" s="72"/>
      <c r="B380" s="258" t="s">
        <v>290</v>
      </c>
      <c r="C380" s="117" t="s">
        <v>194</v>
      </c>
      <c r="D380" s="72" t="s">
        <v>135</v>
      </c>
      <c r="E380" s="72" t="s">
        <v>135</v>
      </c>
      <c r="F380" s="72" t="s">
        <v>135</v>
      </c>
      <c r="G380" s="300" t="s">
        <v>264</v>
      </c>
      <c r="H380" s="66" t="s">
        <v>135</v>
      </c>
      <c r="I380" s="303"/>
      <c r="J380" s="118">
        <f>J383</f>
        <v>605700</v>
      </c>
      <c r="K380" s="209">
        <f>K383</f>
        <v>0</v>
      </c>
      <c r="L380" s="248">
        <f t="shared" ref="L380:X380" si="167">L381+L383</f>
        <v>3228279.5700000003</v>
      </c>
      <c r="M380" s="248">
        <f t="shared" si="167"/>
        <v>0</v>
      </c>
      <c r="N380" s="248">
        <f t="shared" si="167"/>
        <v>3228279.5700000003</v>
      </c>
      <c r="O380" s="248">
        <f t="shared" si="167"/>
        <v>2758064.5200000005</v>
      </c>
      <c r="P380" s="248">
        <f t="shared" si="167"/>
        <v>0</v>
      </c>
      <c r="Q380" s="248">
        <f>Q381+Q383</f>
        <v>0</v>
      </c>
      <c r="R380" s="248">
        <f>R381+R383</f>
        <v>3228279.5700000003</v>
      </c>
      <c r="S380" s="248">
        <f t="shared" si="167"/>
        <v>2758064.5200000005</v>
      </c>
      <c r="T380" s="249">
        <f t="shared" si="167"/>
        <v>2758064.5200000005</v>
      </c>
      <c r="U380" s="249">
        <f t="shared" si="167"/>
        <v>0</v>
      </c>
      <c r="V380" s="248">
        <f>V381+V383</f>
        <v>0</v>
      </c>
      <c r="W380" s="248">
        <f>W381+W383</f>
        <v>2758064.5200000005</v>
      </c>
      <c r="X380" s="249">
        <f t="shared" si="167"/>
        <v>2758064.5200000005</v>
      </c>
      <c r="Y380" s="101">
        <f>Y381+Y383</f>
        <v>0</v>
      </c>
      <c r="Z380" s="248">
        <f>Z381+Z383</f>
        <v>2758064.5200000005</v>
      </c>
    </row>
    <row r="381" spans="1:26" ht="45" customHeight="1" x14ac:dyDescent="0.2">
      <c r="A381" s="72"/>
      <c r="B381" s="258" t="s">
        <v>21</v>
      </c>
      <c r="C381" s="103" t="s">
        <v>194</v>
      </c>
      <c r="D381" s="66" t="s">
        <v>135</v>
      </c>
      <c r="E381" s="66" t="s">
        <v>135</v>
      </c>
      <c r="F381" s="66" t="s">
        <v>135</v>
      </c>
      <c r="G381" s="66" t="s">
        <v>264</v>
      </c>
      <c r="H381" s="67" t="s">
        <v>135</v>
      </c>
      <c r="I381" s="214" t="s">
        <v>149</v>
      </c>
      <c r="J381" s="118"/>
      <c r="K381" s="209"/>
      <c r="L381" s="248">
        <f t="shared" ref="L381:Z381" si="168">L382</f>
        <v>451959.14</v>
      </c>
      <c r="M381" s="248">
        <f t="shared" si="168"/>
        <v>0</v>
      </c>
      <c r="N381" s="248">
        <f t="shared" si="168"/>
        <v>451959.14</v>
      </c>
      <c r="O381" s="248">
        <f t="shared" si="168"/>
        <v>386129.03</v>
      </c>
      <c r="P381" s="248">
        <f t="shared" si="168"/>
        <v>0</v>
      </c>
      <c r="Q381" s="248">
        <f t="shared" si="168"/>
        <v>0</v>
      </c>
      <c r="R381" s="248">
        <f t="shared" si="168"/>
        <v>451959.14</v>
      </c>
      <c r="S381" s="248">
        <f t="shared" si="168"/>
        <v>386129.03</v>
      </c>
      <c r="T381" s="249">
        <f t="shared" si="168"/>
        <v>386129.03</v>
      </c>
      <c r="U381" s="249">
        <f t="shared" si="168"/>
        <v>0</v>
      </c>
      <c r="V381" s="248">
        <f t="shared" si="168"/>
        <v>0</v>
      </c>
      <c r="W381" s="248">
        <f t="shared" si="168"/>
        <v>386129.03</v>
      </c>
      <c r="X381" s="249">
        <f t="shared" si="168"/>
        <v>386129.03</v>
      </c>
      <c r="Y381" s="101">
        <f t="shared" si="168"/>
        <v>0</v>
      </c>
      <c r="Z381" s="248">
        <f t="shared" si="168"/>
        <v>386129.03</v>
      </c>
    </row>
    <row r="382" spans="1:26" ht="45" customHeight="1" x14ac:dyDescent="0.2">
      <c r="A382" s="72"/>
      <c r="B382" s="258" t="s">
        <v>209</v>
      </c>
      <c r="C382" s="103" t="s">
        <v>194</v>
      </c>
      <c r="D382" s="66" t="s">
        <v>135</v>
      </c>
      <c r="E382" s="66" t="s">
        <v>135</v>
      </c>
      <c r="F382" s="66" t="s">
        <v>135</v>
      </c>
      <c r="G382" s="66" t="s">
        <v>264</v>
      </c>
      <c r="H382" s="67" t="s">
        <v>135</v>
      </c>
      <c r="I382" s="214" t="s">
        <v>156</v>
      </c>
      <c r="J382" s="118"/>
      <c r="K382" s="209"/>
      <c r="L382" s="248">
        <v>451959.14</v>
      </c>
      <c r="M382" s="248">
        <v>0</v>
      </c>
      <c r="N382" s="248">
        <v>451959.14</v>
      </c>
      <c r="O382" s="248">
        <v>386129.03</v>
      </c>
      <c r="P382" s="248">
        <v>0</v>
      </c>
      <c r="Q382" s="248">
        <v>0</v>
      </c>
      <c r="R382" s="248">
        <v>451959.14</v>
      </c>
      <c r="S382" s="248">
        <v>386129.03</v>
      </c>
      <c r="T382" s="249">
        <v>386129.03</v>
      </c>
      <c r="U382" s="249">
        <v>0</v>
      </c>
      <c r="V382" s="248">
        <v>0</v>
      </c>
      <c r="W382" s="248">
        <v>386129.03</v>
      </c>
      <c r="X382" s="249">
        <v>386129.03</v>
      </c>
      <c r="Y382" s="101">
        <v>0</v>
      </c>
      <c r="Z382" s="248">
        <v>386129.03</v>
      </c>
    </row>
    <row r="383" spans="1:26" ht="21.75" customHeight="1" x14ac:dyDescent="0.2">
      <c r="A383" s="72"/>
      <c r="B383" s="212" t="s">
        <v>62</v>
      </c>
      <c r="C383" s="117" t="s">
        <v>194</v>
      </c>
      <c r="D383" s="72" t="s">
        <v>135</v>
      </c>
      <c r="E383" s="72" t="s">
        <v>135</v>
      </c>
      <c r="F383" s="72" t="s">
        <v>135</v>
      </c>
      <c r="G383" s="300" t="s">
        <v>264</v>
      </c>
      <c r="H383" s="66" t="s">
        <v>135</v>
      </c>
      <c r="I383" s="208" t="s">
        <v>63</v>
      </c>
      <c r="J383" s="118">
        <f t="shared" ref="J383:Z383" si="169">J384</f>
        <v>605700</v>
      </c>
      <c r="K383" s="209">
        <f t="shared" si="169"/>
        <v>0</v>
      </c>
      <c r="L383" s="248">
        <f t="shared" si="169"/>
        <v>2776320.43</v>
      </c>
      <c r="M383" s="248">
        <f t="shared" si="169"/>
        <v>0</v>
      </c>
      <c r="N383" s="248">
        <f t="shared" si="169"/>
        <v>2776320.43</v>
      </c>
      <c r="O383" s="248">
        <f t="shared" si="169"/>
        <v>2371935.4900000002</v>
      </c>
      <c r="P383" s="248">
        <f t="shared" si="169"/>
        <v>0</v>
      </c>
      <c r="Q383" s="248">
        <f t="shared" si="169"/>
        <v>0</v>
      </c>
      <c r="R383" s="248">
        <f t="shared" si="169"/>
        <v>2776320.43</v>
      </c>
      <c r="S383" s="248">
        <f t="shared" si="169"/>
        <v>2371935.4900000002</v>
      </c>
      <c r="T383" s="249">
        <f t="shared" si="169"/>
        <v>2371935.4900000002</v>
      </c>
      <c r="U383" s="249">
        <f t="shared" si="169"/>
        <v>0</v>
      </c>
      <c r="V383" s="248">
        <f t="shared" si="169"/>
        <v>0</v>
      </c>
      <c r="W383" s="248">
        <f t="shared" si="169"/>
        <v>2371935.4900000002</v>
      </c>
      <c r="X383" s="249">
        <f t="shared" si="169"/>
        <v>2371935.4900000002</v>
      </c>
      <c r="Y383" s="101">
        <f t="shared" si="169"/>
        <v>0</v>
      </c>
      <c r="Z383" s="248">
        <f t="shared" si="169"/>
        <v>2371935.4900000002</v>
      </c>
    </row>
    <row r="384" spans="1:26" ht="45" customHeight="1" x14ac:dyDescent="0.2">
      <c r="A384" s="72"/>
      <c r="B384" s="280" t="s">
        <v>168</v>
      </c>
      <c r="C384" s="305" t="s">
        <v>194</v>
      </c>
      <c r="D384" s="144" t="s">
        <v>135</v>
      </c>
      <c r="E384" s="144" t="s">
        <v>135</v>
      </c>
      <c r="F384" s="144" t="s">
        <v>135</v>
      </c>
      <c r="G384" s="233" t="s">
        <v>264</v>
      </c>
      <c r="H384" s="88" t="s">
        <v>135</v>
      </c>
      <c r="I384" s="282" t="s">
        <v>140</v>
      </c>
      <c r="J384" s="288">
        <v>605700</v>
      </c>
      <c r="K384" s="264">
        <v>0</v>
      </c>
      <c r="L384" s="368">
        <v>2776320.43</v>
      </c>
      <c r="M384" s="368">
        <v>0</v>
      </c>
      <c r="N384" s="368">
        <v>2776320.43</v>
      </c>
      <c r="O384" s="368">
        <v>2371935.4900000002</v>
      </c>
      <c r="P384" s="368">
        <v>0</v>
      </c>
      <c r="Q384" s="368">
        <v>0</v>
      </c>
      <c r="R384" s="368">
        <v>2776320.43</v>
      </c>
      <c r="S384" s="368">
        <v>2371935.4900000002</v>
      </c>
      <c r="T384" s="369">
        <v>2371935.4900000002</v>
      </c>
      <c r="U384" s="369">
        <v>0</v>
      </c>
      <c r="V384" s="368">
        <v>0</v>
      </c>
      <c r="W384" s="368">
        <v>2371935.4900000002</v>
      </c>
      <c r="X384" s="369">
        <v>2371935.4900000002</v>
      </c>
      <c r="Y384" s="537">
        <v>0</v>
      </c>
      <c r="Z384" s="368">
        <v>2371935.4900000002</v>
      </c>
    </row>
    <row r="385" spans="1:26" ht="51.75" customHeight="1" x14ac:dyDescent="0.2">
      <c r="A385" s="72"/>
      <c r="B385" s="510" t="s">
        <v>332</v>
      </c>
      <c r="C385" s="367" t="s">
        <v>267</v>
      </c>
      <c r="D385" s="367" t="s">
        <v>135</v>
      </c>
      <c r="E385" s="240" t="s">
        <v>135</v>
      </c>
      <c r="F385" s="240" t="s">
        <v>135</v>
      </c>
      <c r="G385" s="370" t="s">
        <v>136</v>
      </c>
      <c r="H385" s="241" t="s">
        <v>135</v>
      </c>
      <c r="I385" s="410"/>
      <c r="J385" s="395"/>
      <c r="K385" s="396"/>
      <c r="L385" s="373">
        <f t="shared" ref="L385:Z387" si="170">L386</f>
        <v>0</v>
      </c>
      <c r="M385" s="373">
        <f t="shared" si="170"/>
        <v>0</v>
      </c>
      <c r="N385" s="373">
        <f>N386+N389</f>
        <v>17447672.699999999</v>
      </c>
      <c r="O385" s="373">
        <f t="shared" ref="O385:Z385" si="171">O386+O389</f>
        <v>933445.2</v>
      </c>
      <c r="P385" s="373">
        <f t="shared" si="171"/>
        <v>0</v>
      </c>
      <c r="Q385" s="373">
        <f t="shared" si="171"/>
        <v>0</v>
      </c>
      <c r="R385" s="373">
        <f t="shared" si="171"/>
        <v>17447672.699999999</v>
      </c>
      <c r="S385" s="373">
        <f t="shared" si="171"/>
        <v>466722.6</v>
      </c>
      <c r="T385" s="373">
        <f t="shared" si="171"/>
        <v>933445.2</v>
      </c>
      <c r="U385" s="373">
        <f t="shared" si="171"/>
        <v>0</v>
      </c>
      <c r="V385" s="373">
        <f t="shared" si="171"/>
        <v>0</v>
      </c>
      <c r="W385" s="373">
        <f t="shared" si="171"/>
        <v>466722.6</v>
      </c>
      <c r="X385" s="373">
        <f t="shared" si="171"/>
        <v>466722.6</v>
      </c>
      <c r="Y385" s="478">
        <f t="shared" si="171"/>
        <v>0</v>
      </c>
      <c r="Z385" s="373">
        <f t="shared" si="171"/>
        <v>466722.6</v>
      </c>
    </row>
    <row r="386" spans="1:26" ht="27" customHeight="1" x14ac:dyDescent="0.2">
      <c r="A386" s="72"/>
      <c r="B386" s="364" t="s">
        <v>315</v>
      </c>
      <c r="C386" s="70" t="s">
        <v>267</v>
      </c>
      <c r="D386" s="70" t="s">
        <v>135</v>
      </c>
      <c r="E386" s="66" t="s">
        <v>135</v>
      </c>
      <c r="F386" s="66" t="s">
        <v>135</v>
      </c>
      <c r="G386" s="71" t="s">
        <v>316</v>
      </c>
      <c r="H386" s="67" t="s">
        <v>135</v>
      </c>
      <c r="I386" s="372"/>
      <c r="J386" s="68"/>
      <c r="K386" s="69"/>
      <c r="L386" s="216">
        <f t="shared" si="170"/>
        <v>0</v>
      </c>
      <c r="M386" s="216">
        <f t="shared" si="170"/>
        <v>0</v>
      </c>
      <c r="N386" s="216">
        <f t="shared" si="170"/>
        <v>0</v>
      </c>
      <c r="O386" s="216">
        <f t="shared" si="170"/>
        <v>466722.6</v>
      </c>
      <c r="P386" s="216">
        <f t="shared" si="170"/>
        <v>0</v>
      </c>
      <c r="Q386" s="216">
        <f t="shared" si="170"/>
        <v>2376836.46</v>
      </c>
      <c r="R386" s="216">
        <f t="shared" si="170"/>
        <v>2376836.46</v>
      </c>
      <c r="S386" s="216">
        <f t="shared" si="170"/>
        <v>466722.6</v>
      </c>
      <c r="T386" s="216">
        <f t="shared" si="170"/>
        <v>466722.6</v>
      </c>
      <c r="U386" s="216">
        <f t="shared" si="170"/>
        <v>0</v>
      </c>
      <c r="V386" s="216">
        <f t="shared" si="170"/>
        <v>0</v>
      </c>
      <c r="W386" s="216">
        <f t="shared" si="170"/>
        <v>466722.6</v>
      </c>
      <c r="X386" s="216">
        <f t="shared" si="170"/>
        <v>466722.6</v>
      </c>
      <c r="Y386" s="215">
        <f>Y387</f>
        <v>0</v>
      </c>
      <c r="Z386" s="216">
        <f t="shared" si="170"/>
        <v>466722.6</v>
      </c>
    </row>
    <row r="387" spans="1:26" ht="28.5" customHeight="1" x14ac:dyDescent="0.2">
      <c r="A387" s="72"/>
      <c r="B387" s="362" t="s">
        <v>52</v>
      </c>
      <c r="C387" s="70" t="s">
        <v>267</v>
      </c>
      <c r="D387" s="70" t="s">
        <v>135</v>
      </c>
      <c r="E387" s="66" t="s">
        <v>135</v>
      </c>
      <c r="F387" s="66" t="s">
        <v>135</v>
      </c>
      <c r="G387" s="71" t="s">
        <v>316</v>
      </c>
      <c r="H387" s="67" t="s">
        <v>135</v>
      </c>
      <c r="I387" s="372" t="s">
        <v>53</v>
      </c>
      <c r="J387" s="68"/>
      <c r="K387" s="69"/>
      <c r="L387" s="216">
        <f t="shared" si="170"/>
        <v>0</v>
      </c>
      <c r="M387" s="216">
        <f t="shared" si="170"/>
        <v>0</v>
      </c>
      <c r="N387" s="216">
        <f t="shared" si="170"/>
        <v>0</v>
      </c>
      <c r="O387" s="216">
        <f t="shared" si="170"/>
        <v>466722.6</v>
      </c>
      <c r="P387" s="216">
        <f t="shared" si="170"/>
        <v>0</v>
      </c>
      <c r="Q387" s="216">
        <f t="shared" si="170"/>
        <v>2376836.46</v>
      </c>
      <c r="R387" s="216">
        <f t="shared" si="170"/>
        <v>2376836.46</v>
      </c>
      <c r="S387" s="216">
        <f t="shared" si="170"/>
        <v>466722.6</v>
      </c>
      <c r="T387" s="216">
        <f t="shared" si="170"/>
        <v>466722.6</v>
      </c>
      <c r="U387" s="216">
        <f t="shared" si="170"/>
        <v>0</v>
      </c>
      <c r="V387" s="216">
        <f t="shared" si="170"/>
        <v>0</v>
      </c>
      <c r="W387" s="216">
        <f t="shared" si="170"/>
        <v>466722.6</v>
      </c>
      <c r="X387" s="216">
        <f t="shared" si="170"/>
        <v>466722.6</v>
      </c>
      <c r="Y387" s="215">
        <f t="shared" si="170"/>
        <v>0</v>
      </c>
      <c r="Z387" s="216">
        <f t="shared" si="170"/>
        <v>466722.6</v>
      </c>
    </row>
    <row r="388" spans="1:26" ht="36" customHeight="1" x14ac:dyDescent="0.2">
      <c r="A388" s="72"/>
      <c r="B388" s="362" t="s">
        <v>54</v>
      </c>
      <c r="C388" s="70" t="s">
        <v>267</v>
      </c>
      <c r="D388" s="70" t="s">
        <v>135</v>
      </c>
      <c r="E388" s="66" t="s">
        <v>135</v>
      </c>
      <c r="F388" s="66" t="s">
        <v>135</v>
      </c>
      <c r="G388" s="71" t="s">
        <v>316</v>
      </c>
      <c r="H388" s="67" t="s">
        <v>135</v>
      </c>
      <c r="I388" s="74" t="s">
        <v>55</v>
      </c>
      <c r="J388" s="68"/>
      <c r="K388" s="69"/>
      <c r="L388" s="216">
        <v>0</v>
      </c>
      <c r="M388" s="216">
        <v>0</v>
      </c>
      <c r="N388" s="216">
        <v>0</v>
      </c>
      <c r="O388" s="216">
        <f>466722.6</f>
        <v>466722.6</v>
      </c>
      <c r="P388" s="216">
        <v>0</v>
      </c>
      <c r="Q388" s="216">
        <v>2376836.46</v>
      </c>
      <c r="R388" s="216">
        <f>Q388</f>
        <v>2376836.46</v>
      </c>
      <c r="S388" s="216">
        <f>466722.6</f>
        <v>466722.6</v>
      </c>
      <c r="T388" s="216">
        <f>466722.6</f>
        <v>466722.6</v>
      </c>
      <c r="U388" s="216">
        <v>0</v>
      </c>
      <c r="V388" s="216">
        <v>0</v>
      </c>
      <c r="W388" s="216">
        <f>466722.6</f>
        <v>466722.6</v>
      </c>
      <c r="X388" s="216">
        <f>466722.6</f>
        <v>466722.6</v>
      </c>
      <c r="Y388" s="215">
        <v>0</v>
      </c>
      <c r="Z388" s="216">
        <f>466722.6</f>
        <v>466722.6</v>
      </c>
    </row>
    <row r="389" spans="1:26" ht="65.25" customHeight="1" x14ac:dyDescent="0.2">
      <c r="A389" s="72"/>
      <c r="B389" s="362" t="s">
        <v>434</v>
      </c>
      <c r="C389" s="70" t="s">
        <v>267</v>
      </c>
      <c r="D389" s="70" t="s">
        <v>135</v>
      </c>
      <c r="E389" s="66" t="s">
        <v>425</v>
      </c>
      <c r="F389" s="66" t="s">
        <v>133</v>
      </c>
      <c r="G389" s="71" t="s">
        <v>426</v>
      </c>
      <c r="H389" s="67" t="s">
        <v>137</v>
      </c>
      <c r="I389" s="372"/>
      <c r="J389" s="68"/>
      <c r="K389" s="69"/>
      <c r="L389" s="216">
        <f t="shared" ref="L389:W390" si="172">L390</f>
        <v>0</v>
      </c>
      <c r="M389" s="216">
        <f t="shared" si="172"/>
        <v>0</v>
      </c>
      <c r="N389" s="216">
        <f t="shared" si="172"/>
        <v>17447672.699999999</v>
      </c>
      <c r="O389" s="215">
        <f t="shared" si="172"/>
        <v>466722.6</v>
      </c>
      <c r="P389" s="216">
        <f t="shared" si="172"/>
        <v>0</v>
      </c>
      <c r="Q389" s="216">
        <f t="shared" si="172"/>
        <v>-2376836.46</v>
      </c>
      <c r="R389" s="216">
        <f t="shared" si="172"/>
        <v>15070836.239999998</v>
      </c>
      <c r="S389" s="216">
        <f t="shared" si="172"/>
        <v>0</v>
      </c>
      <c r="T389" s="215">
        <f t="shared" si="172"/>
        <v>466722.6</v>
      </c>
      <c r="U389" s="216">
        <f t="shared" si="172"/>
        <v>0</v>
      </c>
      <c r="V389" s="216">
        <f t="shared" si="172"/>
        <v>0</v>
      </c>
      <c r="W389" s="216">
        <f t="shared" si="172"/>
        <v>0</v>
      </c>
      <c r="X389" s="216">
        <f>X390</f>
        <v>0</v>
      </c>
      <c r="Y389" s="215">
        <f t="shared" ref="Y389:Z389" si="173">Y390</f>
        <v>0</v>
      </c>
      <c r="Z389" s="216">
        <f t="shared" si="173"/>
        <v>0</v>
      </c>
    </row>
    <row r="390" spans="1:26" ht="36" customHeight="1" x14ac:dyDescent="0.2">
      <c r="A390" s="72"/>
      <c r="B390" s="362" t="s">
        <v>52</v>
      </c>
      <c r="C390" s="70" t="s">
        <v>267</v>
      </c>
      <c r="D390" s="70" t="s">
        <v>135</v>
      </c>
      <c r="E390" s="66" t="s">
        <v>425</v>
      </c>
      <c r="F390" s="66" t="s">
        <v>133</v>
      </c>
      <c r="G390" s="71" t="s">
        <v>426</v>
      </c>
      <c r="H390" s="67" t="s">
        <v>137</v>
      </c>
      <c r="I390" s="372" t="s">
        <v>53</v>
      </c>
      <c r="J390" s="68"/>
      <c r="K390" s="69"/>
      <c r="L390" s="216">
        <f t="shared" si="172"/>
        <v>0</v>
      </c>
      <c r="M390" s="216">
        <f t="shared" si="172"/>
        <v>0</v>
      </c>
      <c r="N390" s="216">
        <f t="shared" si="172"/>
        <v>17447672.699999999</v>
      </c>
      <c r="O390" s="215">
        <f t="shared" si="172"/>
        <v>466722.6</v>
      </c>
      <c r="P390" s="216">
        <f t="shared" si="172"/>
        <v>0</v>
      </c>
      <c r="Q390" s="216">
        <f t="shared" si="172"/>
        <v>-2376836.46</v>
      </c>
      <c r="R390" s="216">
        <f t="shared" si="172"/>
        <v>15070836.239999998</v>
      </c>
      <c r="S390" s="216">
        <f t="shared" si="172"/>
        <v>0</v>
      </c>
      <c r="T390" s="215">
        <f t="shared" si="172"/>
        <v>466722.6</v>
      </c>
      <c r="U390" s="216">
        <f t="shared" si="172"/>
        <v>0</v>
      </c>
      <c r="V390" s="216">
        <f t="shared" si="172"/>
        <v>0</v>
      </c>
      <c r="W390" s="216">
        <f t="shared" si="172"/>
        <v>0</v>
      </c>
      <c r="X390" s="216">
        <f>0</f>
        <v>0</v>
      </c>
      <c r="Y390" s="215">
        <f>0</f>
        <v>0</v>
      </c>
      <c r="Z390" s="216">
        <f>0</f>
        <v>0</v>
      </c>
    </row>
    <row r="391" spans="1:26" ht="36" customHeight="1" x14ac:dyDescent="0.2">
      <c r="A391" s="72"/>
      <c r="B391" s="440" t="s">
        <v>54</v>
      </c>
      <c r="C391" s="107" t="s">
        <v>267</v>
      </c>
      <c r="D391" s="107" t="s">
        <v>135</v>
      </c>
      <c r="E391" s="88" t="s">
        <v>425</v>
      </c>
      <c r="F391" s="88" t="s">
        <v>133</v>
      </c>
      <c r="G391" s="89" t="s">
        <v>426</v>
      </c>
      <c r="H391" s="90" t="s">
        <v>137</v>
      </c>
      <c r="I391" s="298" t="s">
        <v>55</v>
      </c>
      <c r="J391" s="91"/>
      <c r="K391" s="92"/>
      <c r="L391" s="327">
        <v>0</v>
      </c>
      <c r="M391" s="327">
        <v>0</v>
      </c>
      <c r="N391" s="327">
        <v>17447672.699999999</v>
      </c>
      <c r="O391" s="215">
        <f>466722.6</f>
        <v>466722.6</v>
      </c>
      <c r="P391" s="216">
        <v>0</v>
      </c>
      <c r="Q391" s="216">
        <v>-2376836.46</v>
      </c>
      <c r="R391" s="216">
        <f>Q391+N391</f>
        <v>15070836.239999998</v>
      </c>
      <c r="S391" s="216">
        <v>0</v>
      </c>
      <c r="T391" s="215">
        <f>466722.6</f>
        <v>466722.6</v>
      </c>
      <c r="U391" s="216">
        <v>0</v>
      </c>
      <c r="V391" s="216">
        <v>0</v>
      </c>
      <c r="W391" s="216">
        <v>0</v>
      </c>
      <c r="X391" s="216">
        <v>0</v>
      </c>
      <c r="Y391" s="215">
        <v>0</v>
      </c>
      <c r="Z391" s="216">
        <v>0</v>
      </c>
    </row>
    <row r="392" spans="1:26" ht="4.5" customHeight="1" x14ac:dyDescent="0.2">
      <c r="A392" s="72"/>
      <c r="B392" s="362"/>
      <c r="C392" s="79"/>
      <c r="D392" s="79"/>
      <c r="E392" s="66"/>
      <c r="F392" s="66"/>
      <c r="G392" s="79"/>
      <c r="H392" s="67"/>
      <c r="I392" s="291"/>
      <c r="J392" s="209"/>
      <c r="K392" s="209"/>
      <c r="L392" s="209"/>
      <c r="M392" s="209"/>
      <c r="N392" s="209"/>
      <c r="O392" s="312"/>
      <c r="P392" s="312"/>
      <c r="Q392" s="311"/>
      <c r="R392" s="311"/>
      <c r="S392" s="312"/>
      <c r="T392" s="313"/>
      <c r="U392" s="313"/>
      <c r="V392" s="312"/>
      <c r="W392" s="312"/>
      <c r="X392" s="313"/>
      <c r="Y392" s="310"/>
      <c r="Z392" s="312"/>
    </row>
    <row r="393" spans="1:26" ht="93" customHeight="1" x14ac:dyDescent="0.2">
      <c r="A393" s="72"/>
      <c r="B393" s="496" t="s">
        <v>350</v>
      </c>
      <c r="C393" s="230" t="s">
        <v>249</v>
      </c>
      <c r="D393" s="230" t="s">
        <v>135</v>
      </c>
      <c r="E393" s="230" t="s">
        <v>135</v>
      </c>
      <c r="F393" s="230" t="s">
        <v>135</v>
      </c>
      <c r="G393" s="230" t="s">
        <v>136</v>
      </c>
      <c r="H393" s="228" t="s">
        <v>135</v>
      </c>
      <c r="I393" s="309"/>
      <c r="J393" s="209" t="e">
        <f>J394</f>
        <v>#REF!</v>
      </c>
      <c r="K393" s="209" t="e">
        <f>K394</f>
        <v>#REF!</v>
      </c>
      <c r="L393" s="196">
        <f>L394</f>
        <v>0</v>
      </c>
      <c r="M393" s="196">
        <f>M394</f>
        <v>1000000</v>
      </c>
      <c r="N393" s="196">
        <f>N394+N397+N400</f>
        <v>2534370</v>
      </c>
      <c r="O393" s="196">
        <f t="shared" ref="O393:Z393" si="174">O394+O397+O400</f>
        <v>114399334.18000001</v>
      </c>
      <c r="P393" s="196">
        <f t="shared" si="174"/>
        <v>33201770</v>
      </c>
      <c r="Q393" s="196">
        <f t="shared" si="174"/>
        <v>0</v>
      </c>
      <c r="R393" s="196">
        <f t="shared" si="174"/>
        <v>2534370</v>
      </c>
      <c r="S393" s="196">
        <f t="shared" si="174"/>
        <v>92888057.090000004</v>
      </c>
      <c r="T393" s="196">
        <f t="shared" si="174"/>
        <v>268054891.27000001</v>
      </c>
      <c r="U393" s="196">
        <f t="shared" si="174"/>
        <v>1960000</v>
      </c>
      <c r="V393" s="196">
        <f t="shared" si="174"/>
        <v>0</v>
      </c>
      <c r="W393" s="196">
        <f t="shared" si="174"/>
        <v>92888057.090000004</v>
      </c>
      <c r="X393" s="196">
        <f t="shared" si="174"/>
        <v>91371297.090000004</v>
      </c>
      <c r="Y393" s="196">
        <f t="shared" si="174"/>
        <v>0</v>
      </c>
      <c r="Z393" s="197">
        <f t="shared" si="174"/>
        <v>91371297.090000004</v>
      </c>
    </row>
    <row r="394" spans="1:26" ht="33.75" customHeight="1" x14ac:dyDescent="0.2">
      <c r="A394" s="72"/>
      <c r="B394" s="362" t="s">
        <v>252</v>
      </c>
      <c r="C394" s="66" t="s">
        <v>249</v>
      </c>
      <c r="D394" s="66" t="s">
        <v>135</v>
      </c>
      <c r="E394" s="66" t="s">
        <v>135</v>
      </c>
      <c r="F394" s="66" t="s">
        <v>135</v>
      </c>
      <c r="G394" s="66" t="s">
        <v>196</v>
      </c>
      <c r="H394" s="67" t="s">
        <v>135</v>
      </c>
      <c r="I394" s="309"/>
      <c r="J394" s="209" t="e">
        <f>#REF!+J395</f>
        <v>#REF!</v>
      </c>
      <c r="K394" s="209" t="e">
        <f>#REF!+K395</f>
        <v>#REF!</v>
      </c>
      <c r="L394" s="209">
        <f t="shared" ref="L394:N395" si="175">L395</f>
        <v>0</v>
      </c>
      <c r="M394" s="209">
        <f t="shared" si="175"/>
        <v>1000000</v>
      </c>
      <c r="N394" s="209">
        <f t="shared" si="175"/>
        <v>1000000</v>
      </c>
      <c r="O394" s="210">
        <f t="shared" ref="O394:Z394" si="176">O395</f>
        <v>92888057.090000004</v>
      </c>
      <c r="P394" s="210">
        <f t="shared" si="176"/>
        <v>0</v>
      </c>
      <c r="Q394" s="209">
        <f t="shared" si="176"/>
        <v>0</v>
      </c>
      <c r="R394" s="209">
        <f t="shared" si="176"/>
        <v>1000000</v>
      </c>
      <c r="S394" s="210">
        <f t="shared" si="176"/>
        <v>92888057.090000004</v>
      </c>
      <c r="T394" s="211">
        <f t="shared" si="176"/>
        <v>91371297.090000004</v>
      </c>
      <c r="U394" s="211">
        <f t="shared" si="176"/>
        <v>0</v>
      </c>
      <c r="V394" s="210">
        <f t="shared" si="176"/>
        <v>0</v>
      </c>
      <c r="W394" s="210">
        <f t="shared" si="176"/>
        <v>92888057.090000004</v>
      </c>
      <c r="X394" s="211">
        <f t="shared" si="176"/>
        <v>91371297.090000004</v>
      </c>
      <c r="Y394" s="118">
        <f t="shared" si="176"/>
        <v>0</v>
      </c>
      <c r="Z394" s="210">
        <f t="shared" si="176"/>
        <v>91371297.090000004</v>
      </c>
    </row>
    <row r="395" spans="1:26" ht="28.5" customHeight="1" x14ac:dyDescent="0.2">
      <c r="A395" s="72"/>
      <c r="B395" s="362" t="s">
        <v>52</v>
      </c>
      <c r="C395" s="66" t="s">
        <v>249</v>
      </c>
      <c r="D395" s="66" t="s">
        <v>135</v>
      </c>
      <c r="E395" s="66" t="s">
        <v>135</v>
      </c>
      <c r="F395" s="66" t="s">
        <v>135</v>
      </c>
      <c r="G395" s="66" t="s">
        <v>196</v>
      </c>
      <c r="H395" s="67" t="s">
        <v>135</v>
      </c>
      <c r="I395" s="309" t="s">
        <v>53</v>
      </c>
      <c r="J395" s="209">
        <f>J396</f>
        <v>24300</v>
      </c>
      <c r="K395" s="209">
        <f>K396</f>
        <v>0</v>
      </c>
      <c r="L395" s="215">
        <f t="shared" si="175"/>
        <v>0</v>
      </c>
      <c r="M395" s="215">
        <f t="shared" si="175"/>
        <v>1000000</v>
      </c>
      <c r="N395" s="215">
        <f t="shared" si="175"/>
        <v>1000000</v>
      </c>
      <c r="O395" s="216">
        <f t="shared" ref="O395:Z395" si="177">O396</f>
        <v>92888057.090000004</v>
      </c>
      <c r="P395" s="216">
        <f t="shared" si="177"/>
        <v>0</v>
      </c>
      <c r="Q395" s="215">
        <f>Q396</f>
        <v>0</v>
      </c>
      <c r="R395" s="215">
        <f>R396</f>
        <v>1000000</v>
      </c>
      <c r="S395" s="216">
        <f t="shared" si="177"/>
        <v>92888057.090000004</v>
      </c>
      <c r="T395" s="217">
        <f t="shared" si="177"/>
        <v>91371297.090000004</v>
      </c>
      <c r="U395" s="217">
        <f t="shared" si="177"/>
        <v>0</v>
      </c>
      <c r="V395" s="216">
        <f t="shared" si="177"/>
        <v>0</v>
      </c>
      <c r="W395" s="216">
        <f t="shared" si="177"/>
        <v>92888057.090000004</v>
      </c>
      <c r="X395" s="217">
        <f t="shared" si="177"/>
        <v>91371297.090000004</v>
      </c>
      <c r="Y395" s="68">
        <f t="shared" si="177"/>
        <v>0</v>
      </c>
      <c r="Z395" s="216">
        <f t="shared" si="177"/>
        <v>91371297.090000004</v>
      </c>
    </row>
    <row r="396" spans="1:26" ht="36.75" customHeight="1" x14ac:dyDescent="0.2">
      <c r="A396" s="72"/>
      <c r="B396" s="362" t="s">
        <v>54</v>
      </c>
      <c r="C396" s="66" t="s">
        <v>249</v>
      </c>
      <c r="D396" s="66" t="s">
        <v>135</v>
      </c>
      <c r="E396" s="66" t="s">
        <v>135</v>
      </c>
      <c r="F396" s="66" t="s">
        <v>135</v>
      </c>
      <c r="G396" s="66" t="s">
        <v>196</v>
      </c>
      <c r="H396" s="67" t="s">
        <v>135</v>
      </c>
      <c r="I396" s="309" t="s">
        <v>55</v>
      </c>
      <c r="J396" s="209">
        <v>24300</v>
      </c>
      <c r="K396" s="209">
        <v>0</v>
      </c>
      <c r="L396" s="209">
        <v>0</v>
      </c>
      <c r="M396" s="209">
        <v>1000000</v>
      </c>
      <c r="N396" s="209">
        <f>M396</f>
        <v>1000000</v>
      </c>
      <c r="O396" s="210">
        <v>92888057.090000004</v>
      </c>
      <c r="P396" s="210">
        <v>0</v>
      </c>
      <c r="Q396" s="209">
        <f>P396</f>
        <v>0</v>
      </c>
      <c r="R396" s="210">
        <v>1000000</v>
      </c>
      <c r="S396" s="211">
        <v>92888057.090000004</v>
      </c>
      <c r="T396" s="211">
        <v>91371297.090000004</v>
      </c>
      <c r="U396" s="211">
        <v>0</v>
      </c>
      <c r="V396" s="210">
        <v>0</v>
      </c>
      <c r="W396" s="210">
        <v>92888057.090000004</v>
      </c>
      <c r="X396" s="211">
        <v>91371297.090000004</v>
      </c>
      <c r="Y396" s="118">
        <v>0</v>
      </c>
      <c r="Z396" s="210">
        <v>91371297.090000004</v>
      </c>
    </row>
    <row r="397" spans="1:26" ht="36.75" customHeight="1" x14ac:dyDescent="0.2">
      <c r="A397" s="72"/>
      <c r="B397" s="362" t="s">
        <v>347</v>
      </c>
      <c r="C397" s="66" t="s">
        <v>249</v>
      </c>
      <c r="D397" s="66" t="s">
        <v>135</v>
      </c>
      <c r="E397" s="66" t="s">
        <v>135</v>
      </c>
      <c r="F397" s="66" t="s">
        <v>135</v>
      </c>
      <c r="G397" s="66" t="s">
        <v>389</v>
      </c>
      <c r="H397" s="67" t="s">
        <v>135</v>
      </c>
      <c r="I397" s="309"/>
      <c r="J397" s="68" t="e">
        <f>#REF!+J398</f>
        <v>#REF!</v>
      </c>
      <c r="K397" s="69" t="e">
        <f>#REF!+K398</f>
        <v>#REF!</v>
      </c>
      <c r="L397" s="216">
        <f t="shared" ref="L397:Z400" si="178">L398</f>
        <v>0</v>
      </c>
      <c r="M397" s="216">
        <f t="shared" si="178"/>
        <v>1000000</v>
      </c>
      <c r="N397" s="216">
        <f t="shared" si="178"/>
        <v>1534370</v>
      </c>
      <c r="O397" s="68">
        <f t="shared" si="178"/>
        <v>21511277.09</v>
      </c>
      <c r="P397" s="216">
        <f t="shared" si="178"/>
        <v>33201770</v>
      </c>
      <c r="Q397" s="216">
        <f t="shared" si="178"/>
        <v>-1534370</v>
      </c>
      <c r="R397" s="216">
        <f t="shared" si="178"/>
        <v>0</v>
      </c>
      <c r="S397" s="68">
        <f t="shared" si="178"/>
        <v>0</v>
      </c>
      <c r="T397" s="216">
        <f t="shared" si="178"/>
        <v>88341797.090000004</v>
      </c>
      <c r="U397" s="215">
        <f t="shared" si="178"/>
        <v>980000</v>
      </c>
      <c r="V397" s="216">
        <f t="shared" si="178"/>
        <v>0</v>
      </c>
      <c r="W397" s="68">
        <f t="shared" si="178"/>
        <v>0</v>
      </c>
      <c r="X397" s="216">
        <f t="shared" si="178"/>
        <v>0</v>
      </c>
      <c r="Y397" s="215">
        <f t="shared" si="178"/>
        <v>0</v>
      </c>
      <c r="Z397" s="216">
        <f t="shared" si="178"/>
        <v>0</v>
      </c>
    </row>
    <row r="398" spans="1:26" ht="36.75" customHeight="1" x14ac:dyDescent="0.2">
      <c r="A398" s="72"/>
      <c r="B398" s="362" t="s">
        <v>52</v>
      </c>
      <c r="C398" s="66" t="s">
        <v>249</v>
      </c>
      <c r="D398" s="66" t="s">
        <v>135</v>
      </c>
      <c r="E398" s="66" t="s">
        <v>135</v>
      </c>
      <c r="F398" s="66" t="s">
        <v>135</v>
      </c>
      <c r="G398" s="66" t="s">
        <v>389</v>
      </c>
      <c r="H398" s="67" t="s">
        <v>135</v>
      </c>
      <c r="I398" s="309" t="s">
        <v>53</v>
      </c>
      <c r="J398" s="120">
        <f>J399</f>
        <v>24300</v>
      </c>
      <c r="K398" s="121">
        <f>K399</f>
        <v>0</v>
      </c>
      <c r="L398" s="216">
        <f t="shared" si="178"/>
        <v>0</v>
      </c>
      <c r="M398" s="216">
        <f t="shared" si="178"/>
        <v>1000000</v>
      </c>
      <c r="N398" s="216">
        <f t="shared" si="178"/>
        <v>1534370</v>
      </c>
      <c r="O398" s="68">
        <f t="shared" si="178"/>
        <v>21511277.09</v>
      </c>
      <c r="P398" s="216">
        <f t="shared" si="178"/>
        <v>33201770</v>
      </c>
      <c r="Q398" s="216">
        <f t="shared" si="178"/>
        <v>-1534370</v>
      </c>
      <c r="R398" s="216">
        <f t="shared" si="178"/>
        <v>0</v>
      </c>
      <c r="S398" s="68">
        <f t="shared" si="178"/>
        <v>0</v>
      </c>
      <c r="T398" s="216">
        <f t="shared" si="178"/>
        <v>88341797.090000004</v>
      </c>
      <c r="U398" s="215">
        <f t="shared" si="178"/>
        <v>980000</v>
      </c>
      <c r="V398" s="216">
        <f t="shared" si="178"/>
        <v>0</v>
      </c>
      <c r="W398" s="68">
        <f t="shared" si="178"/>
        <v>0</v>
      </c>
      <c r="X398" s="216">
        <f t="shared" si="178"/>
        <v>0</v>
      </c>
      <c r="Y398" s="215">
        <f t="shared" si="178"/>
        <v>0</v>
      </c>
      <c r="Z398" s="216">
        <f t="shared" si="178"/>
        <v>0</v>
      </c>
    </row>
    <row r="399" spans="1:26" ht="36.75" customHeight="1" x14ac:dyDescent="0.2">
      <c r="A399" s="72"/>
      <c r="B399" s="362" t="s">
        <v>54</v>
      </c>
      <c r="C399" s="66" t="s">
        <v>249</v>
      </c>
      <c r="D399" s="66" t="s">
        <v>135</v>
      </c>
      <c r="E399" s="66" t="s">
        <v>135</v>
      </c>
      <c r="F399" s="66" t="s">
        <v>135</v>
      </c>
      <c r="G399" s="66" t="s">
        <v>389</v>
      </c>
      <c r="H399" s="67" t="s">
        <v>135</v>
      </c>
      <c r="I399" s="309" t="s">
        <v>55</v>
      </c>
      <c r="J399" s="122">
        <v>24300</v>
      </c>
      <c r="K399" s="123">
        <v>0</v>
      </c>
      <c r="L399" s="210">
        <v>0</v>
      </c>
      <c r="M399" s="210">
        <v>1000000</v>
      </c>
      <c r="N399" s="210">
        <v>1534370</v>
      </c>
      <c r="O399" s="118">
        <v>21511277.09</v>
      </c>
      <c r="P399" s="210">
        <f>14539830+18661940</f>
        <v>33201770</v>
      </c>
      <c r="Q399" s="210">
        <v>-1534370</v>
      </c>
      <c r="R399" s="210">
        <f>Q399+N399</f>
        <v>0</v>
      </c>
      <c r="S399" s="118">
        <v>0</v>
      </c>
      <c r="T399" s="210">
        <v>88341797.090000004</v>
      </c>
      <c r="U399" s="209">
        <f>730500+249500</f>
        <v>980000</v>
      </c>
      <c r="V399" s="210">
        <v>0</v>
      </c>
      <c r="W399" s="118">
        <v>0</v>
      </c>
      <c r="X399" s="210">
        <v>0</v>
      </c>
      <c r="Y399" s="209">
        <v>0</v>
      </c>
      <c r="Z399" s="210">
        <v>0</v>
      </c>
    </row>
    <row r="400" spans="1:26" ht="36.75" customHeight="1" x14ac:dyDescent="0.2">
      <c r="A400" s="72"/>
      <c r="B400" s="363" t="s">
        <v>187</v>
      </c>
      <c r="C400" s="66" t="s">
        <v>249</v>
      </c>
      <c r="D400" s="66" t="s">
        <v>135</v>
      </c>
      <c r="E400" s="66" t="s">
        <v>135</v>
      </c>
      <c r="F400" s="66" t="s">
        <v>135</v>
      </c>
      <c r="G400" s="66" t="s">
        <v>389</v>
      </c>
      <c r="H400" s="67" t="s">
        <v>135</v>
      </c>
      <c r="I400" s="309" t="s">
        <v>160</v>
      </c>
      <c r="J400" s="122"/>
      <c r="K400" s="122"/>
      <c r="L400" s="209"/>
      <c r="M400" s="209"/>
      <c r="N400" s="209">
        <f>N401</f>
        <v>0</v>
      </c>
      <c r="O400" s="118"/>
      <c r="P400" s="210"/>
      <c r="Q400" s="209">
        <f>Q401</f>
        <v>1534370</v>
      </c>
      <c r="R400" s="210">
        <f>R401</f>
        <v>1534370</v>
      </c>
      <c r="S400" s="68">
        <f t="shared" si="178"/>
        <v>0</v>
      </c>
      <c r="T400" s="216">
        <f t="shared" si="178"/>
        <v>88341797.090000004</v>
      </c>
      <c r="U400" s="215">
        <f t="shared" si="178"/>
        <v>980000</v>
      </c>
      <c r="V400" s="216">
        <f t="shared" si="178"/>
        <v>0</v>
      </c>
      <c r="W400" s="68">
        <f t="shared" si="178"/>
        <v>0</v>
      </c>
      <c r="X400" s="216">
        <f t="shared" si="178"/>
        <v>0</v>
      </c>
      <c r="Y400" s="215">
        <f t="shared" si="178"/>
        <v>0</v>
      </c>
      <c r="Z400" s="216">
        <f t="shared" si="178"/>
        <v>0</v>
      </c>
    </row>
    <row r="401" spans="1:28" ht="36.75" customHeight="1" x14ac:dyDescent="0.2">
      <c r="A401" s="72"/>
      <c r="B401" s="364" t="s">
        <v>162</v>
      </c>
      <c r="C401" s="66" t="s">
        <v>249</v>
      </c>
      <c r="D401" s="66" t="s">
        <v>135</v>
      </c>
      <c r="E401" s="66" t="s">
        <v>135</v>
      </c>
      <c r="F401" s="66" t="s">
        <v>135</v>
      </c>
      <c r="G401" s="66" t="s">
        <v>389</v>
      </c>
      <c r="H401" s="67" t="s">
        <v>135</v>
      </c>
      <c r="I401" s="309" t="s">
        <v>161</v>
      </c>
      <c r="J401" s="122"/>
      <c r="K401" s="122"/>
      <c r="L401" s="209"/>
      <c r="M401" s="209"/>
      <c r="N401" s="209">
        <v>0</v>
      </c>
      <c r="O401" s="118"/>
      <c r="P401" s="210"/>
      <c r="Q401" s="209">
        <v>1534370</v>
      </c>
      <c r="R401" s="210">
        <f>Q401</f>
        <v>1534370</v>
      </c>
      <c r="S401" s="118">
        <v>0</v>
      </c>
      <c r="T401" s="210">
        <v>88341797.090000004</v>
      </c>
      <c r="U401" s="209">
        <f>730500+249500</f>
        <v>980000</v>
      </c>
      <c r="V401" s="210">
        <v>0</v>
      </c>
      <c r="W401" s="118">
        <v>0</v>
      </c>
      <c r="X401" s="210">
        <v>0</v>
      </c>
      <c r="Y401" s="209">
        <v>0</v>
      </c>
      <c r="Z401" s="210">
        <v>0</v>
      </c>
    </row>
    <row r="402" spans="1:28" ht="9" customHeight="1" x14ac:dyDescent="0.2">
      <c r="A402" s="72"/>
      <c r="B402" s="440"/>
      <c r="C402" s="88"/>
      <c r="D402" s="88"/>
      <c r="E402" s="88"/>
      <c r="F402" s="88"/>
      <c r="G402" s="88"/>
      <c r="H402" s="90"/>
      <c r="I402" s="306"/>
      <c r="J402" s="264"/>
      <c r="K402" s="264"/>
      <c r="L402" s="264"/>
      <c r="M402" s="264"/>
      <c r="N402" s="264"/>
      <c r="O402" s="265"/>
      <c r="P402" s="265"/>
      <c r="Q402" s="264"/>
      <c r="R402" s="265"/>
      <c r="S402" s="266"/>
      <c r="T402" s="266"/>
      <c r="U402" s="266"/>
      <c r="V402" s="265"/>
      <c r="W402" s="265"/>
      <c r="X402" s="266"/>
      <c r="Y402" s="288"/>
      <c r="Z402" s="265"/>
    </row>
    <row r="403" spans="1:28" ht="55.5" customHeight="1" x14ac:dyDescent="0.2">
      <c r="A403" s="72"/>
      <c r="B403" s="198" t="s">
        <v>335</v>
      </c>
      <c r="C403" s="366" t="s">
        <v>334</v>
      </c>
      <c r="D403" s="367" t="s">
        <v>135</v>
      </c>
      <c r="E403" s="240" t="s">
        <v>135</v>
      </c>
      <c r="F403" s="240" t="s">
        <v>135</v>
      </c>
      <c r="G403" s="370" t="s">
        <v>136</v>
      </c>
      <c r="H403" s="241" t="s">
        <v>135</v>
      </c>
      <c r="I403" s="410"/>
      <c r="J403" s="395"/>
      <c r="K403" s="396"/>
      <c r="L403" s="373">
        <f t="shared" ref="L403:N405" si="179">L404</f>
        <v>0</v>
      </c>
      <c r="M403" s="373">
        <f t="shared" si="179"/>
        <v>0</v>
      </c>
      <c r="N403" s="373">
        <f t="shared" si="179"/>
        <v>0</v>
      </c>
      <c r="O403" s="373">
        <f t="shared" ref="O403:Z405" si="180">O404</f>
        <v>9150692.4800000004</v>
      </c>
      <c r="P403" s="373">
        <f t="shared" si="180"/>
        <v>0</v>
      </c>
      <c r="Q403" s="373">
        <f t="shared" si="180"/>
        <v>0</v>
      </c>
      <c r="R403" s="373">
        <f t="shared" si="180"/>
        <v>0</v>
      </c>
      <c r="S403" s="521">
        <f t="shared" si="180"/>
        <v>9150692.4800000004</v>
      </c>
      <c r="T403" s="373">
        <f t="shared" si="180"/>
        <v>5866041.7800000003</v>
      </c>
      <c r="U403" s="373">
        <f t="shared" si="180"/>
        <v>0</v>
      </c>
      <c r="V403" s="373">
        <f t="shared" si="180"/>
        <v>0</v>
      </c>
      <c r="W403" s="373">
        <f t="shared" si="180"/>
        <v>9150692.4800000004</v>
      </c>
      <c r="X403" s="373">
        <f t="shared" si="180"/>
        <v>5866041.7800000003</v>
      </c>
      <c r="Y403" s="478">
        <f t="shared" si="180"/>
        <v>0</v>
      </c>
      <c r="Z403" s="373">
        <f t="shared" si="180"/>
        <v>5866041.7800000003</v>
      </c>
    </row>
    <row r="404" spans="1:28" ht="24" customHeight="1" x14ac:dyDescent="0.2">
      <c r="A404" s="72"/>
      <c r="B404" s="258" t="s">
        <v>337</v>
      </c>
      <c r="C404" s="105" t="s">
        <v>334</v>
      </c>
      <c r="D404" s="70" t="s">
        <v>135</v>
      </c>
      <c r="E404" s="66" t="s">
        <v>135</v>
      </c>
      <c r="F404" s="66" t="s">
        <v>135</v>
      </c>
      <c r="G404" s="71" t="s">
        <v>336</v>
      </c>
      <c r="H404" s="67" t="s">
        <v>135</v>
      </c>
      <c r="I404" s="372"/>
      <c r="J404" s="68"/>
      <c r="K404" s="69"/>
      <c r="L404" s="216">
        <f t="shared" si="179"/>
        <v>0</v>
      </c>
      <c r="M404" s="216">
        <f t="shared" si="179"/>
        <v>0</v>
      </c>
      <c r="N404" s="216">
        <f t="shared" si="179"/>
        <v>0</v>
      </c>
      <c r="O404" s="216">
        <f t="shared" si="180"/>
        <v>9150692.4800000004</v>
      </c>
      <c r="P404" s="216">
        <f t="shared" si="180"/>
        <v>0</v>
      </c>
      <c r="Q404" s="216">
        <f t="shared" si="180"/>
        <v>0</v>
      </c>
      <c r="R404" s="216">
        <f t="shared" si="180"/>
        <v>0</v>
      </c>
      <c r="S404" s="216">
        <f t="shared" si="180"/>
        <v>9150692.4800000004</v>
      </c>
      <c r="T404" s="216">
        <f t="shared" si="180"/>
        <v>5866041.7800000003</v>
      </c>
      <c r="U404" s="216">
        <f t="shared" si="180"/>
        <v>0</v>
      </c>
      <c r="V404" s="216">
        <f t="shared" si="180"/>
        <v>0</v>
      </c>
      <c r="W404" s="216">
        <f t="shared" si="180"/>
        <v>9150692.4800000004</v>
      </c>
      <c r="X404" s="216">
        <f t="shared" si="180"/>
        <v>5866041.7800000003</v>
      </c>
      <c r="Y404" s="215">
        <f t="shared" si="180"/>
        <v>0</v>
      </c>
      <c r="Z404" s="216">
        <f t="shared" si="180"/>
        <v>5866041.7800000003</v>
      </c>
    </row>
    <row r="405" spans="1:28" ht="36.75" customHeight="1" x14ac:dyDescent="0.2">
      <c r="A405" s="72"/>
      <c r="B405" s="212" t="s">
        <v>52</v>
      </c>
      <c r="C405" s="105" t="s">
        <v>334</v>
      </c>
      <c r="D405" s="70" t="s">
        <v>135</v>
      </c>
      <c r="E405" s="66" t="s">
        <v>135</v>
      </c>
      <c r="F405" s="66" t="s">
        <v>135</v>
      </c>
      <c r="G405" s="71" t="s">
        <v>336</v>
      </c>
      <c r="H405" s="67" t="s">
        <v>135</v>
      </c>
      <c r="I405" s="372" t="s">
        <v>53</v>
      </c>
      <c r="J405" s="68"/>
      <c r="K405" s="69"/>
      <c r="L405" s="216">
        <f t="shared" si="179"/>
        <v>0</v>
      </c>
      <c r="M405" s="216">
        <f t="shared" si="179"/>
        <v>0</v>
      </c>
      <c r="N405" s="216">
        <f t="shared" si="179"/>
        <v>0</v>
      </c>
      <c r="O405" s="216">
        <f t="shared" si="180"/>
        <v>9150692.4800000004</v>
      </c>
      <c r="P405" s="216">
        <f t="shared" si="180"/>
        <v>0</v>
      </c>
      <c r="Q405" s="216">
        <f t="shared" si="180"/>
        <v>0</v>
      </c>
      <c r="R405" s="216">
        <f t="shared" si="180"/>
        <v>0</v>
      </c>
      <c r="S405" s="216">
        <f t="shared" si="180"/>
        <v>9150692.4800000004</v>
      </c>
      <c r="T405" s="216">
        <f t="shared" si="180"/>
        <v>5866041.7800000003</v>
      </c>
      <c r="U405" s="216">
        <f t="shared" si="180"/>
        <v>0</v>
      </c>
      <c r="V405" s="216">
        <f t="shared" si="180"/>
        <v>0</v>
      </c>
      <c r="W405" s="216">
        <f t="shared" si="180"/>
        <v>9150692.4800000004</v>
      </c>
      <c r="X405" s="216">
        <f t="shared" si="180"/>
        <v>5866041.7800000003</v>
      </c>
      <c r="Y405" s="215">
        <f t="shared" si="180"/>
        <v>0</v>
      </c>
      <c r="Z405" s="216">
        <f t="shared" si="180"/>
        <v>5866041.7800000003</v>
      </c>
    </row>
    <row r="406" spans="1:28" ht="36.75" customHeight="1" x14ac:dyDescent="0.2">
      <c r="A406" s="72"/>
      <c r="B406" s="212" t="s">
        <v>54</v>
      </c>
      <c r="C406" s="105" t="s">
        <v>334</v>
      </c>
      <c r="D406" s="70" t="s">
        <v>135</v>
      </c>
      <c r="E406" s="66" t="s">
        <v>135</v>
      </c>
      <c r="F406" s="66" t="s">
        <v>135</v>
      </c>
      <c r="G406" s="71" t="s">
        <v>336</v>
      </c>
      <c r="H406" s="67" t="s">
        <v>135</v>
      </c>
      <c r="I406" s="372" t="s">
        <v>55</v>
      </c>
      <c r="J406" s="68"/>
      <c r="K406" s="69"/>
      <c r="L406" s="216">
        <v>0</v>
      </c>
      <c r="M406" s="216">
        <v>0</v>
      </c>
      <c r="N406" s="216">
        <v>0</v>
      </c>
      <c r="O406" s="216">
        <f>9150692.48</f>
        <v>9150692.4800000004</v>
      </c>
      <c r="P406" s="216">
        <v>0</v>
      </c>
      <c r="Q406" s="216">
        <v>0</v>
      </c>
      <c r="R406" s="216">
        <v>0</v>
      </c>
      <c r="S406" s="216">
        <f>9150692.48</f>
        <v>9150692.4800000004</v>
      </c>
      <c r="T406" s="216">
        <f>5866041.78</f>
        <v>5866041.7800000003</v>
      </c>
      <c r="U406" s="216">
        <v>0</v>
      </c>
      <c r="V406" s="216">
        <v>0</v>
      </c>
      <c r="W406" s="216">
        <f>9150692.48</f>
        <v>9150692.4800000004</v>
      </c>
      <c r="X406" s="216">
        <f>5866041.78</f>
        <v>5866041.7800000003</v>
      </c>
      <c r="Y406" s="215">
        <v>0</v>
      </c>
      <c r="Z406" s="216">
        <f>5866041.78</f>
        <v>5866041.7800000003</v>
      </c>
    </row>
    <row r="407" spans="1:28" ht="6" customHeight="1" x14ac:dyDescent="0.2">
      <c r="A407" s="72"/>
      <c r="B407" s="280"/>
      <c r="C407" s="106"/>
      <c r="D407" s="107"/>
      <c r="E407" s="88"/>
      <c r="F407" s="88"/>
      <c r="G407" s="89"/>
      <c r="H407" s="90"/>
      <c r="I407" s="298"/>
      <c r="J407" s="91"/>
      <c r="K407" s="91"/>
      <c r="L407" s="326"/>
      <c r="M407" s="326"/>
      <c r="N407" s="326"/>
      <c r="O407" s="327"/>
      <c r="P407" s="327"/>
      <c r="Q407" s="326"/>
      <c r="R407" s="326"/>
      <c r="S407" s="327"/>
      <c r="T407" s="328"/>
      <c r="U407" s="328"/>
      <c r="V407" s="327"/>
      <c r="W407" s="327"/>
      <c r="X407" s="328"/>
      <c r="Y407" s="91"/>
      <c r="Z407" s="327"/>
    </row>
    <row r="408" spans="1:28" ht="45.75" customHeight="1" x14ac:dyDescent="0.2">
      <c r="A408" s="72"/>
      <c r="B408" s="198" t="s">
        <v>346</v>
      </c>
      <c r="C408" s="366" t="s">
        <v>344</v>
      </c>
      <c r="D408" s="367" t="s">
        <v>135</v>
      </c>
      <c r="E408" s="240" t="s">
        <v>135</v>
      </c>
      <c r="F408" s="240" t="s">
        <v>135</v>
      </c>
      <c r="G408" s="370" t="s">
        <v>136</v>
      </c>
      <c r="H408" s="241" t="s">
        <v>135</v>
      </c>
      <c r="I408" s="410"/>
      <c r="J408" s="395"/>
      <c r="K408" s="396"/>
      <c r="L408" s="373">
        <f t="shared" ref="L408:N410" si="181">L409</f>
        <v>0</v>
      </c>
      <c r="M408" s="373">
        <f t="shared" si="181"/>
        <v>0</v>
      </c>
      <c r="N408" s="373">
        <f>N409+N414</f>
        <v>5280000</v>
      </c>
      <c r="O408" s="373">
        <f t="shared" ref="O408:Z408" si="182">O409+O414</f>
        <v>2240000</v>
      </c>
      <c r="P408" s="373">
        <f t="shared" si="182"/>
        <v>0</v>
      </c>
      <c r="Q408" s="373">
        <f>Q409+Q414</f>
        <v>0</v>
      </c>
      <c r="R408" s="373">
        <f t="shared" si="182"/>
        <v>5280000</v>
      </c>
      <c r="S408" s="373">
        <f t="shared" si="182"/>
        <v>1120000</v>
      </c>
      <c r="T408" s="373">
        <f t="shared" si="182"/>
        <v>440000</v>
      </c>
      <c r="U408" s="373">
        <f t="shared" si="182"/>
        <v>0</v>
      </c>
      <c r="V408" s="373">
        <f t="shared" si="182"/>
        <v>0</v>
      </c>
      <c r="W408" s="373">
        <f t="shared" si="182"/>
        <v>6400000</v>
      </c>
      <c r="X408" s="373">
        <f t="shared" si="182"/>
        <v>220000</v>
      </c>
      <c r="Y408" s="478">
        <f t="shared" si="182"/>
        <v>0</v>
      </c>
      <c r="Z408" s="373">
        <f t="shared" si="182"/>
        <v>220000</v>
      </c>
      <c r="AA408" s="395"/>
      <c r="AB408" s="360"/>
    </row>
    <row r="409" spans="1:28" ht="27" customHeight="1" x14ac:dyDescent="0.2">
      <c r="A409" s="72"/>
      <c r="B409" s="258" t="s">
        <v>10</v>
      </c>
      <c r="C409" s="105" t="s">
        <v>344</v>
      </c>
      <c r="D409" s="70" t="s">
        <v>135</v>
      </c>
      <c r="E409" s="66" t="s">
        <v>135</v>
      </c>
      <c r="F409" s="66" t="s">
        <v>135</v>
      </c>
      <c r="G409" s="71" t="s">
        <v>12</v>
      </c>
      <c r="H409" s="67" t="s">
        <v>135</v>
      </c>
      <c r="I409" s="372"/>
      <c r="J409" s="68"/>
      <c r="K409" s="69"/>
      <c r="L409" s="216">
        <f t="shared" si="181"/>
        <v>0</v>
      </c>
      <c r="M409" s="216">
        <f t="shared" si="181"/>
        <v>0</v>
      </c>
      <c r="N409" s="216">
        <f t="shared" si="181"/>
        <v>0</v>
      </c>
      <c r="O409" s="216">
        <f t="shared" ref="O409:Z410" si="183">O410</f>
        <v>1120000</v>
      </c>
      <c r="P409" s="216">
        <f t="shared" si="183"/>
        <v>0</v>
      </c>
      <c r="Q409" s="216">
        <f t="shared" si="183"/>
        <v>0</v>
      </c>
      <c r="R409" s="216">
        <f>R410+R412</f>
        <v>0</v>
      </c>
      <c r="S409" s="216">
        <f t="shared" ref="S409:Z409" si="184">S410+S412</f>
        <v>1120000</v>
      </c>
      <c r="T409" s="216">
        <f t="shared" si="184"/>
        <v>220000</v>
      </c>
      <c r="U409" s="216">
        <f t="shared" si="184"/>
        <v>0</v>
      </c>
      <c r="V409" s="216">
        <f t="shared" si="184"/>
        <v>0</v>
      </c>
      <c r="W409" s="216">
        <f t="shared" si="184"/>
        <v>6400000</v>
      </c>
      <c r="X409" s="216">
        <f t="shared" si="184"/>
        <v>220000</v>
      </c>
      <c r="Y409" s="216">
        <f t="shared" si="184"/>
        <v>0</v>
      </c>
      <c r="Z409" s="216">
        <f t="shared" si="184"/>
        <v>220000</v>
      </c>
    </row>
    <row r="410" spans="1:28" ht="36.75" customHeight="1" x14ac:dyDescent="0.2">
      <c r="A410" s="72"/>
      <c r="B410" s="212" t="s">
        <v>52</v>
      </c>
      <c r="C410" s="105" t="s">
        <v>344</v>
      </c>
      <c r="D410" s="70" t="s">
        <v>135</v>
      </c>
      <c r="E410" s="66" t="s">
        <v>135</v>
      </c>
      <c r="F410" s="66" t="s">
        <v>135</v>
      </c>
      <c r="G410" s="71" t="s">
        <v>12</v>
      </c>
      <c r="H410" s="67" t="s">
        <v>135</v>
      </c>
      <c r="I410" s="372" t="s">
        <v>53</v>
      </c>
      <c r="J410" s="68"/>
      <c r="K410" s="69"/>
      <c r="L410" s="216">
        <f t="shared" si="181"/>
        <v>0</v>
      </c>
      <c r="M410" s="216">
        <f t="shared" si="181"/>
        <v>0</v>
      </c>
      <c r="N410" s="216">
        <f t="shared" si="181"/>
        <v>0</v>
      </c>
      <c r="O410" s="216">
        <f t="shared" si="183"/>
        <v>1120000</v>
      </c>
      <c r="P410" s="216">
        <f t="shared" si="183"/>
        <v>0</v>
      </c>
      <c r="Q410" s="216">
        <f t="shared" si="183"/>
        <v>0</v>
      </c>
      <c r="R410" s="216">
        <f t="shared" si="183"/>
        <v>0</v>
      </c>
      <c r="S410" s="216">
        <f t="shared" si="183"/>
        <v>1120000</v>
      </c>
      <c r="T410" s="216">
        <f t="shared" si="183"/>
        <v>220000</v>
      </c>
      <c r="U410" s="216">
        <f t="shared" si="183"/>
        <v>0</v>
      </c>
      <c r="V410" s="216">
        <f t="shared" si="183"/>
        <v>0</v>
      </c>
      <c r="W410" s="216">
        <f t="shared" si="183"/>
        <v>1120000</v>
      </c>
      <c r="X410" s="216">
        <f t="shared" si="183"/>
        <v>220000</v>
      </c>
      <c r="Y410" s="215">
        <f t="shared" si="183"/>
        <v>0</v>
      </c>
      <c r="Z410" s="216">
        <f t="shared" si="183"/>
        <v>220000</v>
      </c>
    </row>
    <row r="411" spans="1:28" ht="36.75" customHeight="1" x14ac:dyDescent="0.2">
      <c r="A411" s="72"/>
      <c r="B411" s="212" t="s">
        <v>54</v>
      </c>
      <c r="C411" s="105" t="s">
        <v>344</v>
      </c>
      <c r="D411" s="70" t="s">
        <v>135</v>
      </c>
      <c r="E411" s="66" t="s">
        <v>135</v>
      </c>
      <c r="F411" s="66" t="s">
        <v>135</v>
      </c>
      <c r="G411" s="71" t="s">
        <v>12</v>
      </c>
      <c r="H411" s="67" t="s">
        <v>135</v>
      </c>
      <c r="I411" s="372" t="s">
        <v>55</v>
      </c>
      <c r="J411" s="68"/>
      <c r="K411" s="69"/>
      <c r="L411" s="224">
        <v>0</v>
      </c>
      <c r="M411" s="224">
        <v>0</v>
      </c>
      <c r="N411" s="224">
        <v>0</v>
      </c>
      <c r="O411" s="224">
        <v>1120000</v>
      </c>
      <c r="P411" s="224">
        <v>0</v>
      </c>
      <c r="Q411" s="224">
        <v>0</v>
      </c>
      <c r="R411" s="224">
        <v>0</v>
      </c>
      <c r="S411" s="224">
        <v>1120000</v>
      </c>
      <c r="T411" s="224">
        <v>220000</v>
      </c>
      <c r="U411" s="224">
        <v>0</v>
      </c>
      <c r="V411" s="224">
        <v>0</v>
      </c>
      <c r="W411" s="224">
        <f>1120000</f>
        <v>1120000</v>
      </c>
      <c r="X411" s="224">
        <v>220000</v>
      </c>
      <c r="Y411" s="223">
        <v>0</v>
      </c>
      <c r="Z411" s="224">
        <v>220000</v>
      </c>
    </row>
    <row r="412" spans="1:28" ht="36.75" customHeight="1" x14ac:dyDescent="0.2">
      <c r="A412" s="72"/>
      <c r="B412" s="362" t="s">
        <v>21</v>
      </c>
      <c r="C412" s="105" t="s">
        <v>344</v>
      </c>
      <c r="D412" s="70" t="s">
        <v>135</v>
      </c>
      <c r="E412" s="66" t="s">
        <v>135</v>
      </c>
      <c r="F412" s="66" t="s">
        <v>135</v>
      </c>
      <c r="G412" s="71" t="s">
        <v>12</v>
      </c>
      <c r="H412" s="67" t="s">
        <v>135</v>
      </c>
      <c r="I412" s="372" t="s">
        <v>149</v>
      </c>
      <c r="J412" s="68"/>
      <c r="K412" s="69"/>
      <c r="L412" s="224"/>
      <c r="M412" s="224"/>
      <c r="N412" s="224"/>
      <c r="O412" s="224"/>
      <c r="P412" s="224"/>
      <c r="Q412" s="224"/>
      <c r="R412" s="224">
        <f>R413</f>
        <v>0</v>
      </c>
      <c r="S412" s="224"/>
      <c r="T412" s="224"/>
      <c r="U412" s="224"/>
      <c r="V412" s="224"/>
      <c r="W412" s="224">
        <f>W413</f>
        <v>5280000</v>
      </c>
      <c r="X412" s="224"/>
      <c r="Y412" s="223"/>
      <c r="Z412" s="224">
        <f>Z413</f>
        <v>0</v>
      </c>
    </row>
    <row r="413" spans="1:28" ht="36.75" customHeight="1" x14ac:dyDescent="0.2">
      <c r="A413" s="72"/>
      <c r="B413" s="362" t="s">
        <v>22</v>
      </c>
      <c r="C413" s="105" t="s">
        <v>344</v>
      </c>
      <c r="D413" s="70" t="s">
        <v>135</v>
      </c>
      <c r="E413" s="66" t="s">
        <v>135</v>
      </c>
      <c r="F413" s="66" t="s">
        <v>135</v>
      </c>
      <c r="G413" s="71" t="s">
        <v>12</v>
      </c>
      <c r="H413" s="67" t="s">
        <v>135</v>
      </c>
      <c r="I413" s="372" t="s">
        <v>23</v>
      </c>
      <c r="J413" s="68"/>
      <c r="K413" s="69"/>
      <c r="L413" s="224"/>
      <c r="M413" s="224"/>
      <c r="N413" s="224"/>
      <c r="O413" s="224"/>
      <c r="P413" s="224"/>
      <c r="Q413" s="224"/>
      <c r="R413" s="224">
        <v>0</v>
      </c>
      <c r="S413" s="224"/>
      <c r="T413" s="224"/>
      <c r="U413" s="224"/>
      <c r="V413" s="224"/>
      <c r="W413" s="224">
        <v>5280000</v>
      </c>
      <c r="X413" s="224"/>
      <c r="Y413" s="223"/>
      <c r="Z413" s="224">
        <v>0</v>
      </c>
    </row>
    <row r="414" spans="1:28" ht="54" customHeight="1" x14ac:dyDescent="0.2">
      <c r="A414" s="72"/>
      <c r="B414" s="212" t="s">
        <v>347</v>
      </c>
      <c r="C414" s="77" t="s">
        <v>344</v>
      </c>
      <c r="D414" s="79" t="s">
        <v>135</v>
      </c>
      <c r="E414" s="66" t="s">
        <v>135</v>
      </c>
      <c r="F414" s="66" t="s">
        <v>135</v>
      </c>
      <c r="G414" s="72" t="s">
        <v>389</v>
      </c>
      <c r="H414" s="67" t="s">
        <v>135</v>
      </c>
      <c r="I414" s="372"/>
      <c r="J414" s="64" t="e">
        <f>J415+#REF!</f>
        <v>#REF!</v>
      </c>
      <c r="K414" s="65" t="e">
        <f>K415+#REF!</f>
        <v>#REF!</v>
      </c>
      <c r="L414" s="224">
        <f t="shared" ref="J414:Z415" si="185">L415</f>
        <v>0</v>
      </c>
      <c r="M414" s="224">
        <f t="shared" si="185"/>
        <v>0</v>
      </c>
      <c r="N414" s="224">
        <f>N415+N417</f>
        <v>5280000</v>
      </c>
      <c r="O414" s="224">
        <f t="shared" ref="O414:Z414" si="186">O415+O417</f>
        <v>1120000</v>
      </c>
      <c r="P414" s="224">
        <f t="shared" si="186"/>
        <v>0</v>
      </c>
      <c r="Q414" s="224">
        <f t="shared" si="186"/>
        <v>0</v>
      </c>
      <c r="R414" s="224">
        <f t="shared" si="186"/>
        <v>5280000</v>
      </c>
      <c r="S414" s="224">
        <f t="shared" si="186"/>
        <v>0</v>
      </c>
      <c r="T414" s="224">
        <f t="shared" si="186"/>
        <v>220000</v>
      </c>
      <c r="U414" s="224">
        <f t="shared" si="186"/>
        <v>0</v>
      </c>
      <c r="V414" s="224">
        <f t="shared" si="186"/>
        <v>0</v>
      </c>
      <c r="W414" s="224">
        <f t="shared" si="186"/>
        <v>0</v>
      </c>
      <c r="X414" s="224">
        <f t="shared" si="186"/>
        <v>0</v>
      </c>
      <c r="Y414" s="223">
        <f t="shared" si="186"/>
        <v>0</v>
      </c>
      <c r="Z414" s="224">
        <f t="shared" si="186"/>
        <v>0</v>
      </c>
    </row>
    <row r="415" spans="1:28" ht="36.75" hidden="1" customHeight="1" x14ac:dyDescent="0.2">
      <c r="A415" s="72"/>
      <c r="B415" s="212" t="s">
        <v>52</v>
      </c>
      <c r="C415" s="77" t="s">
        <v>344</v>
      </c>
      <c r="D415" s="79" t="s">
        <v>135</v>
      </c>
      <c r="E415" s="66" t="s">
        <v>135</v>
      </c>
      <c r="F415" s="66" t="s">
        <v>135</v>
      </c>
      <c r="G415" s="72" t="s">
        <v>389</v>
      </c>
      <c r="H415" s="67" t="s">
        <v>135</v>
      </c>
      <c r="I415" s="372" t="s">
        <v>53</v>
      </c>
      <c r="J415" s="64">
        <f t="shared" si="185"/>
        <v>60000</v>
      </c>
      <c r="K415" s="65">
        <f t="shared" si="185"/>
        <v>0</v>
      </c>
      <c r="L415" s="224">
        <f t="shared" si="185"/>
        <v>0</v>
      </c>
      <c r="M415" s="224">
        <f t="shared" si="185"/>
        <v>0</v>
      </c>
      <c r="N415" s="224">
        <f t="shared" si="185"/>
        <v>5280000</v>
      </c>
      <c r="O415" s="223">
        <f t="shared" si="185"/>
        <v>1120000</v>
      </c>
      <c r="P415" s="224">
        <f t="shared" si="185"/>
        <v>0</v>
      </c>
      <c r="Q415" s="224">
        <f t="shared" si="185"/>
        <v>-5280000</v>
      </c>
      <c r="R415" s="224">
        <f t="shared" si="185"/>
        <v>0</v>
      </c>
      <c r="S415" s="225">
        <f t="shared" si="185"/>
        <v>0</v>
      </c>
      <c r="T415" s="224">
        <f t="shared" si="185"/>
        <v>220000</v>
      </c>
      <c r="U415" s="223">
        <f t="shared" si="185"/>
        <v>0</v>
      </c>
      <c r="V415" s="224">
        <f t="shared" si="185"/>
        <v>0</v>
      </c>
      <c r="W415" s="225">
        <f t="shared" si="185"/>
        <v>0</v>
      </c>
      <c r="X415" s="224">
        <f t="shared" si="185"/>
        <v>0</v>
      </c>
      <c r="Y415" s="223">
        <f t="shared" si="185"/>
        <v>0</v>
      </c>
      <c r="Z415" s="224">
        <f t="shared" si="185"/>
        <v>0</v>
      </c>
    </row>
    <row r="416" spans="1:28" ht="36.75" hidden="1" customHeight="1" x14ac:dyDescent="0.2">
      <c r="A416" s="72"/>
      <c r="B416" s="212" t="s">
        <v>54</v>
      </c>
      <c r="C416" s="77" t="s">
        <v>344</v>
      </c>
      <c r="D416" s="79" t="s">
        <v>135</v>
      </c>
      <c r="E416" s="66" t="s">
        <v>135</v>
      </c>
      <c r="F416" s="66" t="s">
        <v>135</v>
      </c>
      <c r="G416" s="72" t="s">
        <v>389</v>
      </c>
      <c r="H416" s="67" t="s">
        <v>135</v>
      </c>
      <c r="I416" s="372" t="s">
        <v>55</v>
      </c>
      <c r="J416" s="64">
        <v>60000</v>
      </c>
      <c r="K416" s="65">
        <v>0</v>
      </c>
      <c r="L416" s="224">
        <v>0</v>
      </c>
      <c r="M416" s="224">
        <v>0</v>
      </c>
      <c r="N416" s="224">
        <v>5280000</v>
      </c>
      <c r="O416" s="223">
        <v>1120000</v>
      </c>
      <c r="P416" s="224">
        <v>0</v>
      </c>
      <c r="Q416" s="224">
        <v>-5280000</v>
      </c>
      <c r="R416" s="224">
        <v>0</v>
      </c>
      <c r="S416" s="225">
        <v>0</v>
      </c>
      <c r="T416" s="224">
        <v>220000</v>
      </c>
      <c r="U416" s="223">
        <v>0</v>
      </c>
      <c r="V416" s="224">
        <v>0</v>
      </c>
      <c r="W416" s="225">
        <v>0</v>
      </c>
      <c r="X416" s="224">
        <v>0</v>
      </c>
      <c r="Y416" s="223">
        <v>0</v>
      </c>
      <c r="Z416" s="224">
        <v>0</v>
      </c>
    </row>
    <row r="417" spans="1:31" ht="36.75" customHeight="1" x14ac:dyDescent="0.2">
      <c r="A417" s="72"/>
      <c r="B417" s="362" t="s">
        <v>21</v>
      </c>
      <c r="C417" s="77" t="s">
        <v>344</v>
      </c>
      <c r="D417" s="79" t="s">
        <v>135</v>
      </c>
      <c r="E417" s="66" t="s">
        <v>135</v>
      </c>
      <c r="F417" s="66" t="s">
        <v>135</v>
      </c>
      <c r="G417" s="72" t="s">
        <v>389</v>
      </c>
      <c r="H417" s="67" t="s">
        <v>135</v>
      </c>
      <c r="I417" s="372" t="s">
        <v>149</v>
      </c>
      <c r="J417" s="64"/>
      <c r="K417" s="65"/>
      <c r="L417" s="224"/>
      <c r="M417" s="224"/>
      <c r="N417" s="224">
        <f>N418</f>
        <v>0</v>
      </c>
      <c r="O417" s="223"/>
      <c r="P417" s="224"/>
      <c r="Q417" s="224">
        <f>Q418</f>
        <v>5280000</v>
      </c>
      <c r="R417" s="224">
        <f>R418</f>
        <v>5280000</v>
      </c>
      <c r="S417" s="225">
        <f>S418</f>
        <v>0</v>
      </c>
      <c r="T417" s="224"/>
      <c r="U417" s="223"/>
      <c r="V417" s="224">
        <f>V418</f>
        <v>0</v>
      </c>
      <c r="W417" s="225">
        <f>W418</f>
        <v>0</v>
      </c>
      <c r="X417" s="224">
        <f>X418</f>
        <v>0</v>
      </c>
      <c r="Y417" s="223">
        <f>Y418</f>
        <v>0</v>
      </c>
      <c r="Z417" s="224">
        <f>Z418</f>
        <v>0</v>
      </c>
    </row>
    <row r="418" spans="1:31" ht="36.75" customHeight="1" x14ac:dyDescent="0.2">
      <c r="A418" s="72"/>
      <c r="B418" s="362" t="s">
        <v>22</v>
      </c>
      <c r="C418" s="77" t="s">
        <v>344</v>
      </c>
      <c r="D418" s="79" t="s">
        <v>135</v>
      </c>
      <c r="E418" s="66" t="s">
        <v>135</v>
      </c>
      <c r="F418" s="66" t="s">
        <v>135</v>
      </c>
      <c r="G418" s="72" t="s">
        <v>389</v>
      </c>
      <c r="H418" s="67" t="s">
        <v>135</v>
      </c>
      <c r="I418" s="372" t="s">
        <v>23</v>
      </c>
      <c r="J418" s="64"/>
      <c r="K418" s="65"/>
      <c r="L418" s="224"/>
      <c r="M418" s="224"/>
      <c r="N418" s="224">
        <v>0</v>
      </c>
      <c r="O418" s="223"/>
      <c r="P418" s="224"/>
      <c r="Q418" s="224">
        <v>5280000</v>
      </c>
      <c r="R418" s="224">
        <f>Q418</f>
        <v>5280000</v>
      </c>
      <c r="S418" s="225">
        <v>0</v>
      </c>
      <c r="T418" s="224"/>
      <c r="U418" s="223"/>
      <c r="V418" s="224">
        <v>0</v>
      </c>
      <c r="W418" s="225">
        <v>0</v>
      </c>
      <c r="X418" s="224">
        <v>0</v>
      </c>
      <c r="Y418" s="223">
        <v>0</v>
      </c>
      <c r="Z418" s="224">
        <v>0</v>
      </c>
    </row>
    <row r="419" spans="1:31" ht="9" customHeight="1" x14ac:dyDescent="0.2">
      <c r="A419" s="72"/>
      <c r="B419" s="280"/>
      <c r="C419" s="106"/>
      <c r="D419" s="107"/>
      <c r="E419" s="88"/>
      <c r="F419" s="88"/>
      <c r="G419" s="89"/>
      <c r="H419" s="90"/>
      <c r="I419" s="298"/>
      <c r="J419" s="91"/>
      <c r="K419" s="91"/>
      <c r="L419" s="326"/>
      <c r="M419" s="326"/>
      <c r="N419" s="326"/>
      <c r="O419" s="327"/>
      <c r="P419" s="327"/>
      <c r="Q419" s="326"/>
      <c r="R419" s="326"/>
      <c r="S419" s="327"/>
      <c r="T419" s="328"/>
      <c r="U419" s="328"/>
      <c r="V419" s="327"/>
      <c r="W419" s="327"/>
      <c r="X419" s="328"/>
      <c r="Y419" s="91"/>
      <c r="Z419" s="327"/>
    </row>
    <row r="420" spans="1:31" ht="61.5" customHeight="1" x14ac:dyDescent="0.2">
      <c r="A420" s="72"/>
      <c r="B420" s="198" t="s">
        <v>365</v>
      </c>
      <c r="C420" s="398" t="s">
        <v>348</v>
      </c>
      <c r="D420" s="444" t="s">
        <v>135</v>
      </c>
      <c r="E420" s="240" t="s">
        <v>135</v>
      </c>
      <c r="F420" s="240" t="s">
        <v>135</v>
      </c>
      <c r="G420" s="444" t="s">
        <v>136</v>
      </c>
      <c r="H420" s="241" t="s">
        <v>135</v>
      </c>
      <c r="I420" s="290"/>
      <c r="J420" s="63"/>
      <c r="K420" s="56"/>
      <c r="L420" s="425">
        <f t="shared" ref="L420:X420" si="187">L424+L427+L421</f>
        <v>4780650</v>
      </c>
      <c r="M420" s="425">
        <f t="shared" si="187"/>
        <v>0</v>
      </c>
      <c r="N420" s="425">
        <f t="shared" si="187"/>
        <v>4780650</v>
      </c>
      <c r="O420" s="425">
        <f t="shared" si="187"/>
        <v>197500</v>
      </c>
      <c r="P420" s="425">
        <f t="shared" si="187"/>
        <v>0</v>
      </c>
      <c r="Q420" s="425">
        <f>Q424+Q427+Q421</f>
        <v>4770</v>
      </c>
      <c r="R420" s="425">
        <f>R424+R427+R421</f>
        <v>4785420</v>
      </c>
      <c r="S420" s="425">
        <f t="shared" si="187"/>
        <v>197500</v>
      </c>
      <c r="T420" s="425">
        <f t="shared" si="187"/>
        <v>162000</v>
      </c>
      <c r="U420" s="425">
        <f t="shared" si="187"/>
        <v>0</v>
      </c>
      <c r="V420" s="425">
        <f>V424+V427+V421</f>
        <v>0</v>
      </c>
      <c r="W420" s="425">
        <f>W424+W427+W421</f>
        <v>197500</v>
      </c>
      <c r="X420" s="425">
        <f t="shared" si="187"/>
        <v>162000</v>
      </c>
      <c r="Y420" s="471">
        <f>Y424+Y427+Y421</f>
        <v>0</v>
      </c>
      <c r="Z420" s="425">
        <f>Z424+Z427+Z421</f>
        <v>162000</v>
      </c>
    </row>
    <row r="421" spans="1:31" ht="29.25" customHeight="1" x14ac:dyDescent="0.2">
      <c r="A421" s="72"/>
      <c r="B421" s="258" t="s">
        <v>29</v>
      </c>
      <c r="C421" s="103" t="s">
        <v>348</v>
      </c>
      <c r="D421" s="66" t="s">
        <v>135</v>
      </c>
      <c r="E421" s="66" t="s">
        <v>135</v>
      </c>
      <c r="F421" s="66" t="s">
        <v>135</v>
      </c>
      <c r="G421" s="66" t="s">
        <v>27</v>
      </c>
      <c r="H421" s="67" t="s">
        <v>135</v>
      </c>
      <c r="I421" s="309"/>
      <c r="J421" s="101"/>
      <c r="K421" s="102"/>
      <c r="L421" s="248">
        <f t="shared" ref="L421:Z422" si="188">L422</f>
        <v>0</v>
      </c>
      <c r="M421" s="248">
        <f t="shared" si="188"/>
        <v>0</v>
      </c>
      <c r="N421" s="248">
        <f t="shared" si="188"/>
        <v>0</v>
      </c>
      <c r="O421" s="248">
        <f t="shared" si="188"/>
        <v>197500</v>
      </c>
      <c r="P421" s="248">
        <f t="shared" si="188"/>
        <v>0</v>
      </c>
      <c r="Q421" s="248">
        <f t="shared" si="188"/>
        <v>4770</v>
      </c>
      <c r="R421" s="248">
        <f t="shared" si="188"/>
        <v>4770</v>
      </c>
      <c r="S421" s="248">
        <f t="shared" si="188"/>
        <v>197500</v>
      </c>
      <c r="T421" s="248">
        <f t="shared" si="188"/>
        <v>162000</v>
      </c>
      <c r="U421" s="248">
        <f t="shared" si="188"/>
        <v>0</v>
      </c>
      <c r="V421" s="248">
        <f t="shared" si="188"/>
        <v>0</v>
      </c>
      <c r="W421" s="248">
        <f t="shared" si="188"/>
        <v>197500</v>
      </c>
      <c r="X421" s="248">
        <f t="shared" si="188"/>
        <v>162000</v>
      </c>
      <c r="Y421" s="473">
        <f t="shared" si="188"/>
        <v>0</v>
      </c>
      <c r="Z421" s="248">
        <f t="shared" si="188"/>
        <v>162000</v>
      </c>
    </row>
    <row r="422" spans="1:31" ht="36.75" customHeight="1" x14ac:dyDescent="0.2">
      <c r="A422" s="72"/>
      <c r="B422" s="212" t="s">
        <v>52</v>
      </c>
      <c r="C422" s="103" t="s">
        <v>348</v>
      </c>
      <c r="D422" s="66" t="s">
        <v>135</v>
      </c>
      <c r="E422" s="66" t="s">
        <v>135</v>
      </c>
      <c r="F422" s="66" t="s">
        <v>135</v>
      </c>
      <c r="G422" s="66" t="s">
        <v>27</v>
      </c>
      <c r="H422" s="67" t="s">
        <v>135</v>
      </c>
      <c r="I422" s="309" t="s">
        <v>53</v>
      </c>
      <c r="J422" s="101"/>
      <c r="K422" s="102"/>
      <c r="L422" s="248">
        <f t="shared" si="188"/>
        <v>0</v>
      </c>
      <c r="M422" s="248">
        <f t="shared" si="188"/>
        <v>0</v>
      </c>
      <c r="N422" s="248">
        <f t="shared" si="188"/>
        <v>0</v>
      </c>
      <c r="O422" s="248">
        <f t="shared" si="188"/>
        <v>197500</v>
      </c>
      <c r="P422" s="248">
        <f t="shared" si="188"/>
        <v>0</v>
      </c>
      <c r="Q422" s="248">
        <f t="shared" si="188"/>
        <v>4770</v>
      </c>
      <c r="R422" s="248">
        <f t="shared" si="188"/>
        <v>4770</v>
      </c>
      <c r="S422" s="248">
        <f t="shared" si="188"/>
        <v>197500</v>
      </c>
      <c r="T422" s="248">
        <f t="shared" si="188"/>
        <v>162000</v>
      </c>
      <c r="U422" s="248">
        <f t="shared" si="188"/>
        <v>0</v>
      </c>
      <c r="V422" s="248">
        <f t="shared" si="188"/>
        <v>0</v>
      </c>
      <c r="W422" s="248">
        <f t="shared" si="188"/>
        <v>197500</v>
      </c>
      <c r="X422" s="248">
        <f t="shared" si="188"/>
        <v>162000</v>
      </c>
      <c r="Y422" s="473">
        <f t="shared" si="188"/>
        <v>0</v>
      </c>
      <c r="Z422" s="248">
        <f t="shared" si="188"/>
        <v>162000</v>
      </c>
    </row>
    <row r="423" spans="1:31" ht="36.75" customHeight="1" x14ac:dyDescent="0.2">
      <c r="A423" s="72"/>
      <c r="B423" s="212" t="s">
        <v>54</v>
      </c>
      <c r="C423" s="103" t="s">
        <v>348</v>
      </c>
      <c r="D423" s="66" t="s">
        <v>135</v>
      </c>
      <c r="E423" s="66" t="s">
        <v>135</v>
      </c>
      <c r="F423" s="66" t="s">
        <v>135</v>
      </c>
      <c r="G423" s="66" t="s">
        <v>27</v>
      </c>
      <c r="H423" s="67" t="s">
        <v>135</v>
      </c>
      <c r="I423" s="309" t="s">
        <v>55</v>
      </c>
      <c r="J423" s="101"/>
      <c r="K423" s="102"/>
      <c r="L423" s="248">
        <v>0</v>
      </c>
      <c r="M423" s="248">
        <v>0</v>
      </c>
      <c r="N423" s="248">
        <v>0</v>
      </c>
      <c r="O423" s="248">
        <v>197500</v>
      </c>
      <c r="P423" s="248">
        <v>0</v>
      </c>
      <c r="Q423" s="248">
        <f>3000+1770</f>
        <v>4770</v>
      </c>
      <c r="R423" s="248">
        <f>Q423</f>
        <v>4770</v>
      </c>
      <c r="S423" s="248">
        <v>197500</v>
      </c>
      <c r="T423" s="248">
        <v>162000</v>
      </c>
      <c r="U423" s="248">
        <v>0</v>
      </c>
      <c r="V423" s="248">
        <v>0</v>
      </c>
      <c r="W423" s="248">
        <v>197500</v>
      </c>
      <c r="X423" s="248">
        <v>162000</v>
      </c>
      <c r="Y423" s="473">
        <v>0</v>
      </c>
      <c r="Z423" s="248">
        <v>162000</v>
      </c>
    </row>
    <row r="424" spans="1:31" ht="91.5" customHeight="1" x14ac:dyDescent="0.2">
      <c r="A424" s="72"/>
      <c r="B424" s="258" t="s">
        <v>305</v>
      </c>
      <c r="C424" s="103" t="s">
        <v>348</v>
      </c>
      <c r="D424" s="66" t="s">
        <v>135</v>
      </c>
      <c r="E424" s="66" t="s">
        <v>135</v>
      </c>
      <c r="F424" s="66" t="s">
        <v>135</v>
      </c>
      <c r="G424" s="66" t="s">
        <v>311</v>
      </c>
      <c r="H424" s="67" t="s">
        <v>135</v>
      </c>
      <c r="I424" s="309"/>
      <c r="J424" s="101"/>
      <c r="K424" s="102"/>
      <c r="L424" s="248">
        <f t="shared" ref="L424:Z425" si="189">L425</f>
        <v>2580650</v>
      </c>
      <c r="M424" s="248">
        <f t="shared" si="189"/>
        <v>0</v>
      </c>
      <c r="N424" s="248">
        <f t="shared" si="189"/>
        <v>2580650</v>
      </c>
      <c r="O424" s="248">
        <f t="shared" si="189"/>
        <v>0</v>
      </c>
      <c r="P424" s="248">
        <f t="shared" si="189"/>
        <v>0</v>
      </c>
      <c r="Q424" s="248">
        <f t="shared" si="189"/>
        <v>0</v>
      </c>
      <c r="R424" s="248">
        <f t="shared" si="189"/>
        <v>2580650</v>
      </c>
      <c r="S424" s="248">
        <f t="shared" si="189"/>
        <v>0</v>
      </c>
      <c r="T424" s="248">
        <f t="shared" si="189"/>
        <v>0</v>
      </c>
      <c r="U424" s="248">
        <f t="shared" si="189"/>
        <v>0</v>
      </c>
      <c r="V424" s="248">
        <f t="shared" si="189"/>
        <v>0</v>
      </c>
      <c r="W424" s="248">
        <f t="shared" si="189"/>
        <v>0</v>
      </c>
      <c r="X424" s="248">
        <f t="shared" si="189"/>
        <v>0</v>
      </c>
      <c r="Y424" s="473">
        <f t="shared" si="189"/>
        <v>0</v>
      </c>
      <c r="Z424" s="248">
        <f t="shared" si="189"/>
        <v>0</v>
      </c>
    </row>
    <row r="425" spans="1:31" ht="26.25" customHeight="1" x14ac:dyDescent="0.2">
      <c r="A425" s="72"/>
      <c r="B425" s="212" t="s">
        <v>56</v>
      </c>
      <c r="C425" s="103" t="s">
        <v>348</v>
      </c>
      <c r="D425" s="66" t="s">
        <v>135</v>
      </c>
      <c r="E425" s="66" t="s">
        <v>135</v>
      </c>
      <c r="F425" s="66" t="s">
        <v>135</v>
      </c>
      <c r="G425" s="66" t="s">
        <v>311</v>
      </c>
      <c r="H425" s="67" t="s">
        <v>135</v>
      </c>
      <c r="I425" s="309" t="s">
        <v>57</v>
      </c>
      <c r="J425" s="101"/>
      <c r="K425" s="102"/>
      <c r="L425" s="248">
        <f t="shared" si="189"/>
        <v>2580650</v>
      </c>
      <c r="M425" s="248">
        <f t="shared" si="189"/>
        <v>0</v>
      </c>
      <c r="N425" s="248">
        <f t="shared" si="189"/>
        <v>2580650</v>
      </c>
      <c r="O425" s="248">
        <f t="shared" si="189"/>
        <v>0</v>
      </c>
      <c r="P425" s="248">
        <f t="shared" si="189"/>
        <v>0</v>
      </c>
      <c r="Q425" s="248">
        <f t="shared" si="189"/>
        <v>0</v>
      </c>
      <c r="R425" s="248">
        <f t="shared" si="189"/>
        <v>2580650</v>
      </c>
      <c r="S425" s="248">
        <f t="shared" si="189"/>
        <v>0</v>
      </c>
      <c r="T425" s="248">
        <f t="shared" si="189"/>
        <v>0</v>
      </c>
      <c r="U425" s="248">
        <f t="shared" si="189"/>
        <v>0</v>
      </c>
      <c r="V425" s="248">
        <f t="shared" si="189"/>
        <v>0</v>
      </c>
      <c r="W425" s="248">
        <f t="shared" si="189"/>
        <v>0</v>
      </c>
      <c r="X425" s="248">
        <f t="shared" si="189"/>
        <v>0</v>
      </c>
      <c r="Y425" s="473">
        <f t="shared" si="189"/>
        <v>0</v>
      </c>
      <c r="Z425" s="248">
        <f t="shared" si="189"/>
        <v>0</v>
      </c>
    </row>
    <row r="426" spans="1:31" ht="36.75" customHeight="1" x14ac:dyDescent="0.2">
      <c r="A426" s="72"/>
      <c r="B426" s="212" t="s">
        <v>58</v>
      </c>
      <c r="C426" s="103" t="s">
        <v>348</v>
      </c>
      <c r="D426" s="66" t="s">
        <v>135</v>
      </c>
      <c r="E426" s="66" t="s">
        <v>135</v>
      </c>
      <c r="F426" s="66" t="s">
        <v>135</v>
      </c>
      <c r="G426" s="66" t="s">
        <v>311</v>
      </c>
      <c r="H426" s="67" t="s">
        <v>135</v>
      </c>
      <c r="I426" s="309" t="s">
        <v>59</v>
      </c>
      <c r="J426" s="101"/>
      <c r="K426" s="102"/>
      <c r="L426" s="248">
        <f>2400000+180650</f>
        <v>2580650</v>
      </c>
      <c r="M426" s="248">
        <v>0</v>
      </c>
      <c r="N426" s="248">
        <f>2400000+180650</f>
        <v>2580650</v>
      </c>
      <c r="O426" s="248">
        <v>0</v>
      </c>
      <c r="P426" s="248">
        <v>0</v>
      </c>
      <c r="Q426" s="248">
        <v>0</v>
      </c>
      <c r="R426" s="248">
        <f>2400000+180650</f>
        <v>2580650</v>
      </c>
      <c r="S426" s="248">
        <v>0</v>
      </c>
      <c r="T426" s="248">
        <v>0</v>
      </c>
      <c r="U426" s="248">
        <v>0</v>
      </c>
      <c r="V426" s="248">
        <v>0</v>
      </c>
      <c r="W426" s="248">
        <v>0</v>
      </c>
      <c r="X426" s="248">
        <v>0</v>
      </c>
      <c r="Y426" s="473">
        <v>0</v>
      </c>
      <c r="Z426" s="248">
        <v>0</v>
      </c>
    </row>
    <row r="427" spans="1:31" ht="77.25" customHeight="1" x14ac:dyDescent="0.2">
      <c r="A427" s="72"/>
      <c r="B427" s="258" t="s">
        <v>304</v>
      </c>
      <c r="C427" s="103" t="s">
        <v>348</v>
      </c>
      <c r="D427" s="66" t="s">
        <v>135</v>
      </c>
      <c r="E427" s="66" t="s">
        <v>135</v>
      </c>
      <c r="F427" s="66" t="s">
        <v>135</v>
      </c>
      <c r="G427" s="66" t="s">
        <v>303</v>
      </c>
      <c r="H427" s="67" t="s">
        <v>135</v>
      </c>
      <c r="I427" s="309"/>
      <c r="J427" s="101"/>
      <c r="K427" s="102"/>
      <c r="L427" s="248">
        <f t="shared" ref="L427:Z428" si="190">L428</f>
        <v>2200000</v>
      </c>
      <c r="M427" s="248">
        <f t="shared" si="190"/>
        <v>0</v>
      </c>
      <c r="N427" s="248">
        <f t="shared" si="190"/>
        <v>2200000</v>
      </c>
      <c r="O427" s="248">
        <f t="shared" si="190"/>
        <v>0</v>
      </c>
      <c r="P427" s="248">
        <f t="shared" si="190"/>
        <v>0</v>
      </c>
      <c r="Q427" s="248">
        <f t="shared" si="190"/>
        <v>0</v>
      </c>
      <c r="R427" s="248">
        <f t="shared" si="190"/>
        <v>2200000</v>
      </c>
      <c r="S427" s="248">
        <f t="shared" si="190"/>
        <v>0</v>
      </c>
      <c r="T427" s="248">
        <f t="shared" si="190"/>
        <v>0</v>
      </c>
      <c r="U427" s="248">
        <f t="shared" si="190"/>
        <v>0</v>
      </c>
      <c r="V427" s="248">
        <f t="shared" si="190"/>
        <v>0</v>
      </c>
      <c r="W427" s="248">
        <f t="shared" si="190"/>
        <v>0</v>
      </c>
      <c r="X427" s="248">
        <f t="shared" si="190"/>
        <v>0</v>
      </c>
      <c r="Y427" s="473">
        <f t="shared" si="190"/>
        <v>0</v>
      </c>
      <c r="Z427" s="248">
        <f t="shared" si="190"/>
        <v>0</v>
      </c>
    </row>
    <row r="428" spans="1:31" ht="36.75" customHeight="1" x14ac:dyDescent="0.2">
      <c r="A428" s="72"/>
      <c r="B428" s="212" t="s">
        <v>56</v>
      </c>
      <c r="C428" s="103" t="s">
        <v>348</v>
      </c>
      <c r="D428" s="66" t="s">
        <v>135</v>
      </c>
      <c r="E428" s="66" t="s">
        <v>135</v>
      </c>
      <c r="F428" s="66" t="s">
        <v>135</v>
      </c>
      <c r="G428" s="66" t="s">
        <v>303</v>
      </c>
      <c r="H428" s="67" t="s">
        <v>135</v>
      </c>
      <c r="I428" s="309" t="s">
        <v>57</v>
      </c>
      <c r="J428" s="101"/>
      <c r="K428" s="102"/>
      <c r="L428" s="248">
        <f t="shared" si="190"/>
        <v>2200000</v>
      </c>
      <c r="M428" s="248">
        <f t="shared" si="190"/>
        <v>0</v>
      </c>
      <c r="N428" s="248">
        <f t="shared" si="190"/>
        <v>2200000</v>
      </c>
      <c r="O428" s="248">
        <f t="shared" si="190"/>
        <v>0</v>
      </c>
      <c r="P428" s="248">
        <f t="shared" si="190"/>
        <v>0</v>
      </c>
      <c r="Q428" s="248">
        <f t="shared" si="190"/>
        <v>0</v>
      </c>
      <c r="R428" s="248">
        <f t="shared" si="190"/>
        <v>2200000</v>
      </c>
      <c r="S428" s="248">
        <f t="shared" si="190"/>
        <v>0</v>
      </c>
      <c r="T428" s="248">
        <f t="shared" si="190"/>
        <v>0</v>
      </c>
      <c r="U428" s="248">
        <f t="shared" si="190"/>
        <v>0</v>
      </c>
      <c r="V428" s="248">
        <f t="shared" si="190"/>
        <v>0</v>
      </c>
      <c r="W428" s="248">
        <f t="shared" si="190"/>
        <v>0</v>
      </c>
      <c r="X428" s="248">
        <f t="shared" si="190"/>
        <v>0</v>
      </c>
      <c r="Y428" s="473">
        <f t="shared" si="190"/>
        <v>0</v>
      </c>
      <c r="Z428" s="248">
        <f t="shared" si="190"/>
        <v>0</v>
      </c>
    </row>
    <row r="429" spans="1:31" ht="36.75" customHeight="1" x14ac:dyDescent="0.2">
      <c r="A429" s="72"/>
      <c r="B429" s="212" t="s">
        <v>58</v>
      </c>
      <c r="C429" s="103" t="s">
        <v>348</v>
      </c>
      <c r="D429" s="66" t="s">
        <v>135</v>
      </c>
      <c r="E429" s="66" t="s">
        <v>135</v>
      </c>
      <c r="F429" s="66" t="s">
        <v>135</v>
      </c>
      <c r="G429" s="66" t="s">
        <v>303</v>
      </c>
      <c r="H429" s="67" t="s">
        <v>135</v>
      </c>
      <c r="I429" s="309" t="s">
        <v>59</v>
      </c>
      <c r="J429" s="101"/>
      <c r="K429" s="102"/>
      <c r="L429" s="248">
        <v>2200000</v>
      </c>
      <c r="M429" s="248">
        <v>0</v>
      </c>
      <c r="N429" s="248">
        <v>2200000</v>
      </c>
      <c r="O429" s="248">
        <v>0</v>
      </c>
      <c r="P429" s="248">
        <v>0</v>
      </c>
      <c r="Q429" s="248">
        <v>0</v>
      </c>
      <c r="R429" s="248">
        <v>2200000</v>
      </c>
      <c r="S429" s="248">
        <v>0</v>
      </c>
      <c r="T429" s="248">
        <v>0</v>
      </c>
      <c r="U429" s="248">
        <v>0</v>
      </c>
      <c r="V429" s="248">
        <v>0</v>
      </c>
      <c r="W429" s="248">
        <v>0</v>
      </c>
      <c r="X429" s="248">
        <v>0</v>
      </c>
      <c r="Y429" s="473">
        <v>0</v>
      </c>
      <c r="Z429" s="248">
        <v>0</v>
      </c>
    </row>
    <row r="430" spans="1:31" ht="5.25" customHeight="1" x14ac:dyDescent="0.2">
      <c r="A430" s="72"/>
      <c r="B430" s="280"/>
      <c r="C430" s="106"/>
      <c r="D430" s="107"/>
      <c r="E430" s="88"/>
      <c r="F430" s="88"/>
      <c r="G430" s="89"/>
      <c r="H430" s="90"/>
      <c r="I430" s="298"/>
      <c r="J430" s="264"/>
      <c r="K430" s="264"/>
      <c r="L430" s="264"/>
      <c r="M430" s="264"/>
      <c r="N430" s="264"/>
      <c r="O430" s="265"/>
      <c r="P430" s="265"/>
      <c r="Q430" s="264"/>
      <c r="R430" s="264"/>
      <c r="S430" s="265"/>
      <c r="T430" s="266"/>
      <c r="U430" s="266"/>
      <c r="V430" s="265"/>
      <c r="W430" s="265"/>
      <c r="X430" s="266"/>
      <c r="Y430" s="288"/>
      <c r="Z430" s="265"/>
    </row>
    <row r="431" spans="1:31" ht="15" customHeight="1" x14ac:dyDescent="0.2">
      <c r="A431" s="72"/>
      <c r="B431" s="212"/>
      <c r="C431" s="342"/>
      <c r="D431" s="337"/>
      <c r="E431" s="97"/>
      <c r="F431" s="97"/>
      <c r="G431" s="338"/>
      <c r="H431" s="97"/>
      <c r="I431" s="272"/>
      <c r="J431" s="118"/>
      <c r="K431" s="209"/>
      <c r="L431" s="311"/>
      <c r="M431" s="311"/>
      <c r="N431" s="311"/>
      <c r="O431" s="312"/>
      <c r="P431" s="312"/>
      <c r="Q431" s="311"/>
      <c r="R431" s="311"/>
      <c r="S431" s="312"/>
      <c r="T431" s="312"/>
      <c r="U431" s="312"/>
      <c r="V431" s="312"/>
      <c r="W431" s="312"/>
      <c r="X431" s="312"/>
      <c r="Y431" s="311"/>
      <c r="Z431" s="312"/>
    </row>
    <row r="432" spans="1:31" ht="36" x14ac:dyDescent="0.2">
      <c r="B432" s="189" t="s">
        <v>32</v>
      </c>
      <c r="C432" s="190"/>
      <c r="D432" s="191"/>
      <c r="E432" s="191"/>
      <c r="F432" s="191"/>
      <c r="G432" s="192"/>
      <c r="H432" s="192"/>
      <c r="I432" s="194"/>
      <c r="J432" s="195" t="e">
        <f>J433+J439+J454+J471+J511+J516+J563+J577+#REF!+#REF!</f>
        <v>#REF!</v>
      </c>
      <c r="K432" s="196" t="e">
        <f>K433+K439+K454+K471+K511+K516+K563+K577+#REF!+#REF!</f>
        <v>#REF!</v>
      </c>
      <c r="L432" s="196" t="e">
        <f>L433+L439+L454+L471+L511+L516+L563+L577+#REF!+L555</f>
        <v>#REF!</v>
      </c>
      <c r="M432" s="196" t="e">
        <f>M433+M439+M454+M471+M511+M516+M563+M577+#REF!+M555</f>
        <v>#REF!</v>
      </c>
      <c r="N432" s="196">
        <f>N433+N439+N454+N471+N511+N516+N563+N577+N555+N571</f>
        <v>203506796.79999995</v>
      </c>
      <c r="O432" s="196">
        <f t="shared" ref="O432:Z432" si="191">O433+O439+O454+O471+O511+O516+O563+O577+O555+O571</f>
        <v>214778912.46000001</v>
      </c>
      <c r="P432" s="196">
        <f t="shared" si="191"/>
        <v>-9423724.8099999987</v>
      </c>
      <c r="Q432" s="196">
        <f t="shared" si="191"/>
        <v>221400.75000000029</v>
      </c>
      <c r="R432" s="196">
        <f t="shared" si="191"/>
        <v>203728197.54999995</v>
      </c>
      <c r="S432" s="196">
        <f t="shared" si="191"/>
        <v>205293317.65000004</v>
      </c>
      <c r="T432" s="196">
        <f t="shared" si="191"/>
        <v>215233237.56999999</v>
      </c>
      <c r="U432" s="196">
        <f t="shared" si="191"/>
        <v>-9178828.75</v>
      </c>
      <c r="V432" s="196">
        <f t="shared" si="191"/>
        <v>4864313.37</v>
      </c>
      <c r="W432" s="196">
        <f t="shared" si="191"/>
        <v>210157631.02000001</v>
      </c>
      <c r="X432" s="196">
        <f t="shared" si="191"/>
        <v>205992538.82000005</v>
      </c>
      <c r="Y432" s="196">
        <f t="shared" si="191"/>
        <v>2974717.87</v>
      </c>
      <c r="Z432" s="197">
        <f t="shared" si="191"/>
        <v>208967256.69</v>
      </c>
      <c r="AA432" s="195"/>
      <c r="AB432" s="196"/>
      <c r="AC432" s="196"/>
      <c r="AD432" s="196"/>
      <c r="AE432" s="196"/>
    </row>
    <row r="433" spans="2:26" ht="48" customHeight="1" x14ac:dyDescent="0.2">
      <c r="B433" s="198" t="s">
        <v>28</v>
      </c>
      <c r="C433" s="199" t="s">
        <v>2</v>
      </c>
      <c r="D433" s="200" t="s">
        <v>135</v>
      </c>
      <c r="E433" s="227" t="s">
        <v>135</v>
      </c>
      <c r="F433" s="227" t="s">
        <v>135</v>
      </c>
      <c r="G433" s="200" t="s">
        <v>136</v>
      </c>
      <c r="H433" s="230" t="s">
        <v>135</v>
      </c>
      <c r="I433" s="219"/>
      <c r="J433" s="195">
        <f t="shared" ref="J433:N435" si="192">J434</f>
        <v>4160910</v>
      </c>
      <c r="K433" s="196">
        <f t="shared" si="192"/>
        <v>0</v>
      </c>
      <c r="L433" s="196">
        <f t="shared" ref="L433:Z433" si="193">L434</f>
        <v>4727358.7300000004</v>
      </c>
      <c r="M433" s="196">
        <f t="shared" si="193"/>
        <v>0</v>
      </c>
      <c r="N433" s="196">
        <f t="shared" si="193"/>
        <v>4727358.7300000004</v>
      </c>
      <c r="O433" s="197">
        <f t="shared" si="193"/>
        <v>4727358.7300000004</v>
      </c>
      <c r="P433" s="197">
        <f t="shared" si="193"/>
        <v>0</v>
      </c>
      <c r="Q433" s="196">
        <f t="shared" si="193"/>
        <v>0</v>
      </c>
      <c r="R433" s="196">
        <f t="shared" si="193"/>
        <v>4727358.7300000004</v>
      </c>
      <c r="S433" s="197">
        <f t="shared" si="193"/>
        <v>4727358.7300000004</v>
      </c>
      <c r="T433" s="197">
        <f t="shared" si="193"/>
        <v>4727358.7300000004</v>
      </c>
      <c r="U433" s="197">
        <f t="shared" si="193"/>
        <v>0</v>
      </c>
      <c r="V433" s="197">
        <f t="shared" si="193"/>
        <v>0</v>
      </c>
      <c r="W433" s="197">
        <f t="shared" si="193"/>
        <v>4727358.7300000004</v>
      </c>
      <c r="X433" s="197">
        <f t="shared" si="193"/>
        <v>4727358.7300000004</v>
      </c>
      <c r="Y433" s="196">
        <f t="shared" si="193"/>
        <v>0</v>
      </c>
      <c r="Z433" s="197">
        <f t="shared" si="193"/>
        <v>4727358.7300000004</v>
      </c>
    </row>
    <row r="434" spans="2:26" ht="25.5" x14ac:dyDescent="0.2">
      <c r="B434" s="213" t="s">
        <v>29</v>
      </c>
      <c r="C434" s="117" t="s">
        <v>2</v>
      </c>
      <c r="D434" s="72" t="s">
        <v>135</v>
      </c>
      <c r="E434" s="72" t="s">
        <v>135</v>
      </c>
      <c r="F434" s="72" t="s">
        <v>135</v>
      </c>
      <c r="G434" s="72" t="s">
        <v>27</v>
      </c>
      <c r="H434" s="66" t="s">
        <v>135</v>
      </c>
      <c r="I434" s="214"/>
      <c r="J434" s="118">
        <f t="shared" si="192"/>
        <v>4160910</v>
      </c>
      <c r="K434" s="209">
        <f t="shared" si="192"/>
        <v>0</v>
      </c>
      <c r="L434" s="209">
        <f t="shared" si="192"/>
        <v>4727358.7300000004</v>
      </c>
      <c r="M434" s="209">
        <f t="shared" si="192"/>
        <v>0</v>
      </c>
      <c r="N434" s="209">
        <f t="shared" si="192"/>
        <v>4727358.7300000004</v>
      </c>
      <c r="O434" s="210">
        <f t="shared" ref="O434:Z435" si="194">O435</f>
        <v>4727358.7300000004</v>
      </c>
      <c r="P434" s="210">
        <f t="shared" si="194"/>
        <v>0</v>
      </c>
      <c r="Q434" s="209">
        <f>Q435</f>
        <v>0</v>
      </c>
      <c r="R434" s="209">
        <f>R435</f>
        <v>4727358.7300000004</v>
      </c>
      <c r="S434" s="210">
        <f t="shared" si="194"/>
        <v>4727358.7300000004</v>
      </c>
      <c r="T434" s="210">
        <f t="shared" si="194"/>
        <v>4727358.7300000004</v>
      </c>
      <c r="U434" s="210">
        <f t="shared" si="194"/>
        <v>0</v>
      </c>
      <c r="V434" s="210">
        <f t="shared" si="194"/>
        <v>0</v>
      </c>
      <c r="W434" s="210">
        <f t="shared" si="194"/>
        <v>4727358.7300000004</v>
      </c>
      <c r="X434" s="210">
        <f t="shared" si="194"/>
        <v>4727358.7300000004</v>
      </c>
      <c r="Y434" s="209">
        <f t="shared" si="194"/>
        <v>0</v>
      </c>
      <c r="Z434" s="210">
        <f t="shared" si="194"/>
        <v>4727358.7300000004</v>
      </c>
    </row>
    <row r="435" spans="2:26" ht="51" x14ac:dyDescent="0.2">
      <c r="B435" s="212" t="s">
        <v>67</v>
      </c>
      <c r="C435" s="117" t="s">
        <v>2</v>
      </c>
      <c r="D435" s="72" t="s">
        <v>135</v>
      </c>
      <c r="E435" s="72" t="s">
        <v>135</v>
      </c>
      <c r="F435" s="72" t="s">
        <v>135</v>
      </c>
      <c r="G435" s="72" t="s">
        <v>27</v>
      </c>
      <c r="H435" s="66" t="s">
        <v>135</v>
      </c>
      <c r="I435" s="214" t="s">
        <v>60</v>
      </c>
      <c r="J435" s="118">
        <f t="shared" si="192"/>
        <v>4160910</v>
      </c>
      <c r="K435" s="209">
        <f t="shared" si="192"/>
        <v>0</v>
      </c>
      <c r="L435" s="209">
        <f t="shared" si="192"/>
        <v>4727358.7300000004</v>
      </c>
      <c r="M435" s="209">
        <f t="shared" si="192"/>
        <v>0</v>
      </c>
      <c r="N435" s="209">
        <f t="shared" si="192"/>
        <v>4727358.7300000004</v>
      </c>
      <c r="O435" s="210">
        <f t="shared" si="194"/>
        <v>4727358.7300000004</v>
      </c>
      <c r="P435" s="210">
        <f t="shared" si="194"/>
        <v>0</v>
      </c>
      <c r="Q435" s="209">
        <f>Q436</f>
        <v>0</v>
      </c>
      <c r="R435" s="209">
        <f>R436</f>
        <v>4727358.7300000004</v>
      </c>
      <c r="S435" s="210">
        <f t="shared" si="194"/>
        <v>4727358.7300000004</v>
      </c>
      <c r="T435" s="210">
        <f t="shared" si="194"/>
        <v>4727358.7300000004</v>
      </c>
      <c r="U435" s="210">
        <f t="shared" si="194"/>
        <v>0</v>
      </c>
      <c r="V435" s="210">
        <f t="shared" si="194"/>
        <v>0</v>
      </c>
      <c r="W435" s="210">
        <f t="shared" si="194"/>
        <v>4727358.7300000004</v>
      </c>
      <c r="X435" s="210">
        <f t="shared" si="194"/>
        <v>4727358.7300000004</v>
      </c>
      <c r="Y435" s="209">
        <f t="shared" si="194"/>
        <v>0</v>
      </c>
      <c r="Z435" s="210">
        <f t="shared" si="194"/>
        <v>4727358.7300000004</v>
      </c>
    </row>
    <row r="436" spans="2:26" ht="25.5" x14ac:dyDescent="0.2">
      <c r="B436" s="212" t="s">
        <v>61</v>
      </c>
      <c r="C436" s="117" t="s">
        <v>2</v>
      </c>
      <c r="D436" s="72" t="s">
        <v>135</v>
      </c>
      <c r="E436" s="72" t="s">
        <v>135</v>
      </c>
      <c r="F436" s="72" t="s">
        <v>135</v>
      </c>
      <c r="G436" s="72" t="s">
        <v>27</v>
      </c>
      <c r="H436" s="66" t="s">
        <v>135</v>
      </c>
      <c r="I436" s="214">
        <v>120</v>
      </c>
      <c r="J436" s="118">
        <v>4160910</v>
      </c>
      <c r="K436" s="118">
        <v>0</v>
      </c>
      <c r="L436" s="343">
        <f>4627358.73+100000</f>
        <v>4727358.7300000004</v>
      </c>
      <c r="M436" s="343">
        <v>0</v>
      </c>
      <c r="N436" s="343">
        <f>4627358.73+100000</f>
        <v>4727358.7300000004</v>
      </c>
      <c r="O436" s="343">
        <f>4627358.73+100000</f>
        <v>4727358.7300000004</v>
      </c>
      <c r="P436" s="343">
        <v>0</v>
      </c>
      <c r="Q436" s="343">
        <v>0</v>
      </c>
      <c r="R436" s="343">
        <f>4627358.73+100000</f>
        <v>4727358.7300000004</v>
      </c>
      <c r="S436" s="343">
        <f>4627358.73+100000</f>
        <v>4727358.7300000004</v>
      </c>
      <c r="T436" s="343">
        <f>4627358.73+100000</f>
        <v>4727358.7300000004</v>
      </c>
      <c r="U436" s="343">
        <v>0</v>
      </c>
      <c r="V436" s="343">
        <v>0</v>
      </c>
      <c r="W436" s="343">
        <f>4627358.73+100000</f>
        <v>4727358.7300000004</v>
      </c>
      <c r="X436" s="343">
        <f>4627358.73+100000</f>
        <v>4727358.7300000004</v>
      </c>
      <c r="Y436" s="474">
        <v>0</v>
      </c>
      <c r="Z436" s="343">
        <f>4627358.73+100000</f>
        <v>4727358.7300000004</v>
      </c>
    </row>
    <row r="437" spans="2:26" x14ac:dyDescent="0.2">
      <c r="B437" s="280"/>
      <c r="C437" s="305"/>
      <c r="D437" s="144"/>
      <c r="E437" s="144"/>
      <c r="F437" s="144"/>
      <c r="G437" s="144"/>
      <c r="H437" s="88"/>
      <c r="I437" s="307"/>
      <c r="J437" s="118"/>
      <c r="K437" s="209"/>
      <c r="L437" s="264"/>
      <c r="M437" s="264"/>
      <c r="N437" s="264"/>
      <c r="O437" s="265"/>
      <c r="P437" s="265"/>
      <c r="Q437" s="264"/>
      <c r="R437" s="264"/>
      <c r="S437" s="265"/>
      <c r="T437" s="265"/>
      <c r="U437" s="265"/>
      <c r="V437" s="265"/>
      <c r="W437" s="265"/>
      <c r="X437" s="265"/>
      <c r="Y437" s="264"/>
      <c r="Z437" s="265"/>
    </row>
    <row r="438" spans="2:26" x14ac:dyDescent="0.2">
      <c r="B438" s="212"/>
      <c r="C438" s="117"/>
      <c r="D438" s="72"/>
      <c r="E438" s="72"/>
      <c r="F438" s="72"/>
      <c r="G438" s="72"/>
      <c r="H438" s="309"/>
      <c r="I438" s="72"/>
      <c r="J438" s="312"/>
      <c r="K438" s="311"/>
      <c r="L438" s="311"/>
      <c r="M438" s="311"/>
      <c r="N438" s="311"/>
      <c r="O438" s="312"/>
      <c r="P438" s="312"/>
      <c r="Q438" s="311"/>
      <c r="R438" s="311"/>
      <c r="S438" s="312"/>
      <c r="T438" s="313"/>
      <c r="U438" s="313"/>
      <c r="V438" s="312"/>
      <c r="W438" s="312"/>
      <c r="X438" s="313"/>
      <c r="Y438" s="310"/>
      <c r="Z438" s="312"/>
    </row>
    <row r="439" spans="2:26" ht="25.5" x14ac:dyDescent="0.2">
      <c r="B439" s="330" t="s">
        <v>369</v>
      </c>
      <c r="C439" s="199" t="s">
        <v>3</v>
      </c>
      <c r="D439" s="200" t="s">
        <v>135</v>
      </c>
      <c r="E439" s="227" t="s">
        <v>135</v>
      </c>
      <c r="F439" s="227" t="s">
        <v>135</v>
      </c>
      <c r="G439" s="200" t="s">
        <v>136</v>
      </c>
      <c r="H439" s="228" t="s">
        <v>135</v>
      </c>
      <c r="I439" s="148"/>
      <c r="J439" s="197">
        <f t="shared" ref="J439:X439" si="195">J440++J445</f>
        <v>3051274</v>
      </c>
      <c r="K439" s="196">
        <f t="shared" si="195"/>
        <v>0</v>
      </c>
      <c r="L439" s="196">
        <f t="shared" si="195"/>
        <v>4737638.2</v>
      </c>
      <c r="M439" s="196">
        <f t="shared" si="195"/>
        <v>0</v>
      </c>
      <c r="N439" s="196">
        <f t="shared" si="195"/>
        <v>4737638.2</v>
      </c>
      <c r="O439" s="197">
        <f t="shared" si="195"/>
        <v>4737638.2</v>
      </c>
      <c r="P439" s="197">
        <f t="shared" si="195"/>
        <v>0</v>
      </c>
      <c r="Q439" s="196">
        <f>Q440++Q445</f>
        <v>0</v>
      </c>
      <c r="R439" s="196">
        <f>R440++R445</f>
        <v>4737638.2</v>
      </c>
      <c r="S439" s="197">
        <f t="shared" si="195"/>
        <v>4737638.2</v>
      </c>
      <c r="T439" s="203">
        <f t="shared" si="195"/>
        <v>4737638.2</v>
      </c>
      <c r="U439" s="203">
        <f t="shared" si="195"/>
        <v>0</v>
      </c>
      <c r="V439" s="197">
        <f>V440++V445</f>
        <v>0</v>
      </c>
      <c r="W439" s="197">
        <f>W440++W445</f>
        <v>4737638.2</v>
      </c>
      <c r="X439" s="203">
        <f t="shared" si="195"/>
        <v>4737638.2</v>
      </c>
      <c r="Y439" s="195">
        <f>Y440++Y445</f>
        <v>0</v>
      </c>
      <c r="Z439" s="197">
        <f>Z440++Z445</f>
        <v>4737638.2</v>
      </c>
    </row>
    <row r="440" spans="2:26" ht="25.5" x14ac:dyDescent="0.2">
      <c r="B440" s="205" t="s">
        <v>370</v>
      </c>
      <c r="C440" s="199" t="s">
        <v>3</v>
      </c>
      <c r="D440" s="200">
        <v>1</v>
      </c>
      <c r="E440" s="227" t="s">
        <v>135</v>
      </c>
      <c r="F440" s="227" t="s">
        <v>135</v>
      </c>
      <c r="G440" s="200" t="s">
        <v>136</v>
      </c>
      <c r="H440" s="228" t="s">
        <v>135</v>
      </c>
      <c r="I440" s="148"/>
      <c r="J440" s="197">
        <f t="shared" ref="J440:N442" si="196">J441</f>
        <v>1708374</v>
      </c>
      <c r="K440" s="196">
        <f t="shared" si="196"/>
        <v>0</v>
      </c>
      <c r="L440" s="196">
        <f t="shared" si="196"/>
        <v>2957464.22</v>
      </c>
      <c r="M440" s="196">
        <f t="shared" si="196"/>
        <v>0</v>
      </c>
      <c r="N440" s="196">
        <f t="shared" si="196"/>
        <v>2957464.22</v>
      </c>
      <c r="O440" s="197">
        <f t="shared" ref="O440:Z442" si="197">O441</f>
        <v>2957464.22</v>
      </c>
      <c r="P440" s="197">
        <f t="shared" si="197"/>
        <v>0</v>
      </c>
      <c r="Q440" s="196">
        <f t="shared" si="197"/>
        <v>0</v>
      </c>
      <c r="R440" s="196">
        <f t="shared" si="197"/>
        <v>2957464.22</v>
      </c>
      <c r="S440" s="197">
        <f t="shared" si="197"/>
        <v>2957464.22</v>
      </c>
      <c r="T440" s="203">
        <f t="shared" si="197"/>
        <v>2957464.22</v>
      </c>
      <c r="U440" s="203">
        <f t="shared" si="197"/>
        <v>0</v>
      </c>
      <c r="V440" s="197">
        <f t="shared" si="197"/>
        <v>0</v>
      </c>
      <c r="W440" s="197">
        <f t="shared" si="197"/>
        <v>2957464.22</v>
      </c>
      <c r="X440" s="203">
        <f t="shared" si="197"/>
        <v>2957464.22</v>
      </c>
      <c r="Y440" s="195">
        <f t="shared" si="197"/>
        <v>0</v>
      </c>
      <c r="Z440" s="197">
        <f t="shared" si="197"/>
        <v>2957464.22</v>
      </c>
    </row>
    <row r="441" spans="2:26" ht="25.5" x14ac:dyDescent="0.2">
      <c r="B441" s="213" t="s">
        <v>29</v>
      </c>
      <c r="C441" s="117" t="s">
        <v>3</v>
      </c>
      <c r="D441" s="72">
        <v>1</v>
      </c>
      <c r="E441" s="72" t="s">
        <v>135</v>
      </c>
      <c r="F441" s="72" t="s">
        <v>135</v>
      </c>
      <c r="G441" s="72" t="s">
        <v>27</v>
      </c>
      <c r="H441" s="67" t="s">
        <v>135</v>
      </c>
      <c r="I441" s="72"/>
      <c r="J441" s="210">
        <f t="shared" si="196"/>
        <v>1708374</v>
      </c>
      <c r="K441" s="209">
        <f t="shared" si="196"/>
        <v>0</v>
      </c>
      <c r="L441" s="209">
        <f t="shared" si="196"/>
        <v>2957464.22</v>
      </c>
      <c r="M441" s="209">
        <f t="shared" si="196"/>
        <v>0</v>
      </c>
      <c r="N441" s="209">
        <f t="shared" si="196"/>
        <v>2957464.22</v>
      </c>
      <c r="O441" s="210">
        <f t="shared" si="197"/>
        <v>2957464.22</v>
      </c>
      <c r="P441" s="210">
        <f t="shared" si="197"/>
        <v>0</v>
      </c>
      <c r="Q441" s="209">
        <f t="shared" si="197"/>
        <v>0</v>
      </c>
      <c r="R441" s="209">
        <f t="shared" si="197"/>
        <v>2957464.22</v>
      </c>
      <c r="S441" s="210">
        <f t="shared" si="197"/>
        <v>2957464.22</v>
      </c>
      <c r="T441" s="211">
        <f t="shared" si="197"/>
        <v>2957464.22</v>
      </c>
      <c r="U441" s="211">
        <f t="shared" si="197"/>
        <v>0</v>
      </c>
      <c r="V441" s="210">
        <f t="shared" si="197"/>
        <v>0</v>
      </c>
      <c r="W441" s="210">
        <f t="shared" si="197"/>
        <v>2957464.22</v>
      </c>
      <c r="X441" s="211">
        <f t="shared" si="197"/>
        <v>2957464.22</v>
      </c>
      <c r="Y441" s="118">
        <f t="shared" si="197"/>
        <v>0</v>
      </c>
      <c r="Z441" s="210">
        <f t="shared" si="197"/>
        <v>2957464.22</v>
      </c>
    </row>
    <row r="442" spans="2:26" ht="51" x14ac:dyDescent="0.2">
      <c r="B442" s="212" t="s">
        <v>67</v>
      </c>
      <c r="C442" s="117" t="s">
        <v>3</v>
      </c>
      <c r="D442" s="72" t="s">
        <v>137</v>
      </c>
      <c r="E442" s="72" t="s">
        <v>135</v>
      </c>
      <c r="F442" s="72" t="s">
        <v>135</v>
      </c>
      <c r="G442" s="72" t="s">
        <v>27</v>
      </c>
      <c r="H442" s="67" t="s">
        <v>135</v>
      </c>
      <c r="I442" s="72">
        <v>100</v>
      </c>
      <c r="J442" s="210">
        <f t="shared" si="196"/>
        <v>1708374</v>
      </c>
      <c r="K442" s="209">
        <f t="shared" si="196"/>
        <v>0</v>
      </c>
      <c r="L442" s="216">
        <f t="shared" si="196"/>
        <v>2957464.22</v>
      </c>
      <c r="M442" s="216">
        <f t="shared" si="196"/>
        <v>0</v>
      </c>
      <c r="N442" s="216">
        <f t="shared" si="196"/>
        <v>2957464.22</v>
      </c>
      <c r="O442" s="216">
        <f t="shared" si="197"/>
        <v>2957464.22</v>
      </c>
      <c r="P442" s="216">
        <f t="shared" si="197"/>
        <v>0</v>
      </c>
      <c r="Q442" s="216">
        <f t="shared" si="197"/>
        <v>0</v>
      </c>
      <c r="R442" s="216">
        <f t="shared" si="197"/>
        <v>2957464.22</v>
      </c>
      <c r="S442" s="216">
        <f t="shared" si="197"/>
        <v>2957464.22</v>
      </c>
      <c r="T442" s="216">
        <f t="shared" si="197"/>
        <v>2957464.22</v>
      </c>
      <c r="U442" s="216">
        <f t="shared" si="197"/>
        <v>0</v>
      </c>
      <c r="V442" s="216">
        <f t="shared" si="197"/>
        <v>0</v>
      </c>
      <c r="W442" s="216">
        <f t="shared" si="197"/>
        <v>2957464.22</v>
      </c>
      <c r="X442" s="216">
        <f t="shared" si="197"/>
        <v>2957464.22</v>
      </c>
      <c r="Y442" s="215">
        <f t="shared" si="197"/>
        <v>0</v>
      </c>
      <c r="Z442" s="216">
        <f t="shared" si="197"/>
        <v>2957464.22</v>
      </c>
    </row>
    <row r="443" spans="2:26" ht="25.5" x14ac:dyDescent="0.2">
      <c r="B443" s="212" t="s">
        <v>61</v>
      </c>
      <c r="C443" s="117" t="s">
        <v>3</v>
      </c>
      <c r="D443" s="72" t="s">
        <v>137</v>
      </c>
      <c r="E443" s="72" t="s">
        <v>135</v>
      </c>
      <c r="F443" s="72" t="s">
        <v>135</v>
      </c>
      <c r="G443" s="72" t="s">
        <v>27</v>
      </c>
      <c r="H443" s="67" t="s">
        <v>135</v>
      </c>
      <c r="I443" s="72">
        <v>120</v>
      </c>
      <c r="J443" s="210">
        <v>1708374</v>
      </c>
      <c r="K443" s="209">
        <v>0</v>
      </c>
      <c r="L443" s="216">
        <v>2957464.22</v>
      </c>
      <c r="M443" s="216">
        <v>0</v>
      </c>
      <c r="N443" s="216">
        <v>2957464.22</v>
      </c>
      <c r="O443" s="216">
        <v>2957464.22</v>
      </c>
      <c r="P443" s="216">
        <v>0</v>
      </c>
      <c r="Q443" s="216">
        <v>0</v>
      </c>
      <c r="R443" s="216">
        <v>2957464.22</v>
      </c>
      <c r="S443" s="216">
        <v>2957464.22</v>
      </c>
      <c r="T443" s="216">
        <v>2957464.22</v>
      </c>
      <c r="U443" s="216">
        <v>0</v>
      </c>
      <c r="V443" s="216">
        <v>0</v>
      </c>
      <c r="W443" s="216">
        <v>2957464.22</v>
      </c>
      <c r="X443" s="216">
        <v>2957464.22</v>
      </c>
      <c r="Y443" s="215">
        <v>0</v>
      </c>
      <c r="Z443" s="216">
        <v>2957464.22</v>
      </c>
    </row>
    <row r="444" spans="2:26" x14ac:dyDescent="0.2">
      <c r="B444" s="212"/>
      <c r="C444" s="117"/>
      <c r="D444" s="72"/>
      <c r="E444" s="72"/>
      <c r="F444" s="72"/>
      <c r="G444" s="72"/>
      <c r="H444" s="67"/>
      <c r="I444" s="72"/>
      <c r="J444" s="210"/>
      <c r="K444" s="209"/>
      <c r="L444" s="209"/>
      <c r="M444" s="209"/>
      <c r="N444" s="209"/>
      <c r="O444" s="210"/>
      <c r="P444" s="210"/>
      <c r="Q444" s="209"/>
      <c r="R444" s="209"/>
      <c r="S444" s="210"/>
      <c r="T444" s="211"/>
      <c r="U444" s="211"/>
      <c r="V444" s="210"/>
      <c r="W444" s="210"/>
      <c r="X444" s="211"/>
      <c r="Y444" s="118"/>
      <c r="Z444" s="210"/>
    </row>
    <row r="445" spans="2:26" x14ac:dyDescent="0.2">
      <c r="B445" s="205" t="s">
        <v>371</v>
      </c>
      <c r="C445" s="199" t="s">
        <v>3</v>
      </c>
      <c r="D445" s="200" t="s">
        <v>133</v>
      </c>
      <c r="E445" s="227" t="s">
        <v>135</v>
      </c>
      <c r="F445" s="227" t="s">
        <v>135</v>
      </c>
      <c r="G445" s="200" t="s">
        <v>136</v>
      </c>
      <c r="H445" s="228" t="s">
        <v>135</v>
      </c>
      <c r="I445" s="148"/>
      <c r="J445" s="197">
        <f t="shared" ref="J445:Z445" si="198">J446</f>
        <v>1342900</v>
      </c>
      <c r="K445" s="196">
        <f t="shared" si="198"/>
        <v>0</v>
      </c>
      <c r="L445" s="196">
        <f t="shared" si="198"/>
        <v>1780173.98</v>
      </c>
      <c r="M445" s="196">
        <f t="shared" si="198"/>
        <v>0</v>
      </c>
      <c r="N445" s="196">
        <f t="shared" si="198"/>
        <v>1780173.98</v>
      </c>
      <c r="O445" s="197">
        <f t="shared" si="198"/>
        <v>1780173.98</v>
      </c>
      <c r="P445" s="197">
        <f t="shared" si="198"/>
        <v>0</v>
      </c>
      <c r="Q445" s="196">
        <f t="shared" si="198"/>
        <v>0</v>
      </c>
      <c r="R445" s="196">
        <f t="shared" si="198"/>
        <v>1780173.98</v>
      </c>
      <c r="S445" s="197">
        <f t="shared" si="198"/>
        <v>1780173.98</v>
      </c>
      <c r="T445" s="203">
        <f t="shared" si="198"/>
        <v>1780173.98</v>
      </c>
      <c r="U445" s="203">
        <f t="shared" si="198"/>
        <v>0</v>
      </c>
      <c r="V445" s="197">
        <f t="shared" si="198"/>
        <v>0</v>
      </c>
      <c r="W445" s="197">
        <f t="shared" si="198"/>
        <v>1780173.98</v>
      </c>
      <c r="X445" s="203">
        <f t="shared" si="198"/>
        <v>1780173.98</v>
      </c>
      <c r="Y445" s="195">
        <f t="shared" si="198"/>
        <v>0</v>
      </c>
      <c r="Z445" s="197">
        <f t="shared" si="198"/>
        <v>1780173.98</v>
      </c>
    </row>
    <row r="446" spans="2:26" ht="25.5" x14ac:dyDescent="0.2">
      <c r="B446" s="213" t="s">
        <v>29</v>
      </c>
      <c r="C446" s="117" t="s">
        <v>3</v>
      </c>
      <c r="D446" s="72" t="s">
        <v>133</v>
      </c>
      <c r="E446" s="72" t="s">
        <v>135</v>
      </c>
      <c r="F446" s="72" t="s">
        <v>135</v>
      </c>
      <c r="G446" s="72" t="s">
        <v>27</v>
      </c>
      <c r="H446" s="67" t="s">
        <v>135</v>
      </c>
      <c r="I446" s="72"/>
      <c r="J446" s="210">
        <f t="shared" ref="J446:X446" si="199">J447+J449+J451</f>
        <v>1342900</v>
      </c>
      <c r="K446" s="209">
        <f t="shared" si="199"/>
        <v>0</v>
      </c>
      <c r="L446" s="209">
        <f t="shared" si="199"/>
        <v>1780173.98</v>
      </c>
      <c r="M446" s="209">
        <f t="shared" si="199"/>
        <v>0</v>
      </c>
      <c r="N446" s="209">
        <f t="shared" si="199"/>
        <v>1780173.98</v>
      </c>
      <c r="O446" s="210">
        <f t="shared" si="199"/>
        <v>1780173.98</v>
      </c>
      <c r="P446" s="210">
        <f t="shared" si="199"/>
        <v>0</v>
      </c>
      <c r="Q446" s="209">
        <f>Q447+Q449+Q451</f>
        <v>0</v>
      </c>
      <c r="R446" s="209">
        <f>R447+R449+R451</f>
        <v>1780173.98</v>
      </c>
      <c r="S446" s="210">
        <f t="shared" si="199"/>
        <v>1780173.98</v>
      </c>
      <c r="T446" s="211">
        <f t="shared" si="199"/>
        <v>1780173.98</v>
      </c>
      <c r="U446" s="211">
        <f t="shared" si="199"/>
        <v>0</v>
      </c>
      <c r="V446" s="210">
        <f>V447+V449+V451</f>
        <v>0</v>
      </c>
      <c r="W446" s="210">
        <f>W447+W449+W451</f>
        <v>1780173.98</v>
      </c>
      <c r="X446" s="211">
        <f t="shared" si="199"/>
        <v>1780173.98</v>
      </c>
      <c r="Y446" s="118">
        <f>Y447+Y449+Y451</f>
        <v>0</v>
      </c>
      <c r="Z446" s="210">
        <f>Z447+Z449+Z451</f>
        <v>1780173.98</v>
      </c>
    </row>
    <row r="447" spans="2:26" ht="51" x14ac:dyDescent="0.2">
      <c r="B447" s="212" t="s">
        <v>67</v>
      </c>
      <c r="C447" s="117" t="s">
        <v>3</v>
      </c>
      <c r="D447" s="72" t="s">
        <v>133</v>
      </c>
      <c r="E447" s="72" t="s">
        <v>135</v>
      </c>
      <c r="F447" s="72" t="s">
        <v>135</v>
      </c>
      <c r="G447" s="72" t="s">
        <v>27</v>
      </c>
      <c r="H447" s="67" t="s">
        <v>135</v>
      </c>
      <c r="I447" s="72">
        <v>100</v>
      </c>
      <c r="J447" s="210">
        <f t="shared" ref="J447:Z447" si="200">J448</f>
        <v>1153600</v>
      </c>
      <c r="K447" s="209">
        <f t="shared" si="200"/>
        <v>0</v>
      </c>
      <c r="L447" s="216">
        <f t="shared" si="200"/>
        <v>1710873.98</v>
      </c>
      <c r="M447" s="216">
        <f t="shared" si="200"/>
        <v>0</v>
      </c>
      <c r="N447" s="216">
        <f t="shared" si="200"/>
        <v>1710873.98</v>
      </c>
      <c r="O447" s="216">
        <f t="shared" si="200"/>
        <v>1710873.98</v>
      </c>
      <c r="P447" s="216">
        <f t="shared" si="200"/>
        <v>0</v>
      </c>
      <c r="Q447" s="216">
        <f t="shared" si="200"/>
        <v>0</v>
      </c>
      <c r="R447" s="216">
        <f t="shared" si="200"/>
        <v>1710873.98</v>
      </c>
      <c r="S447" s="216">
        <f t="shared" si="200"/>
        <v>1710873.98</v>
      </c>
      <c r="T447" s="216">
        <f t="shared" si="200"/>
        <v>1710873.98</v>
      </c>
      <c r="U447" s="216">
        <f t="shared" si="200"/>
        <v>0</v>
      </c>
      <c r="V447" s="216">
        <f t="shared" si="200"/>
        <v>0</v>
      </c>
      <c r="W447" s="216">
        <f t="shared" si="200"/>
        <v>1710873.98</v>
      </c>
      <c r="X447" s="216">
        <f t="shared" si="200"/>
        <v>1710873.98</v>
      </c>
      <c r="Y447" s="215">
        <f t="shared" si="200"/>
        <v>0</v>
      </c>
      <c r="Z447" s="216">
        <f t="shared" si="200"/>
        <v>1710873.98</v>
      </c>
    </row>
    <row r="448" spans="2:26" ht="25.5" x14ac:dyDescent="0.2">
      <c r="B448" s="212" t="s">
        <v>61</v>
      </c>
      <c r="C448" s="117" t="s">
        <v>3</v>
      </c>
      <c r="D448" s="72" t="s">
        <v>133</v>
      </c>
      <c r="E448" s="72" t="s">
        <v>135</v>
      </c>
      <c r="F448" s="72" t="s">
        <v>135</v>
      </c>
      <c r="G448" s="72" t="s">
        <v>27</v>
      </c>
      <c r="H448" s="67" t="s">
        <v>135</v>
      </c>
      <c r="I448" s="72">
        <v>120</v>
      </c>
      <c r="J448" s="216">
        <v>1153600</v>
      </c>
      <c r="K448" s="215">
        <v>0</v>
      </c>
      <c r="L448" s="216">
        <v>1710873.98</v>
      </c>
      <c r="M448" s="216">
        <v>0</v>
      </c>
      <c r="N448" s="216">
        <v>1710873.98</v>
      </c>
      <c r="O448" s="216">
        <v>1710873.98</v>
      </c>
      <c r="P448" s="216">
        <v>0</v>
      </c>
      <c r="Q448" s="216">
        <v>0</v>
      </c>
      <c r="R448" s="216">
        <v>1710873.98</v>
      </c>
      <c r="S448" s="216">
        <v>1710873.98</v>
      </c>
      <c r="T448" s="216">
        <v>1710873.98</v>
      </c>
      <c r="U448" s="216">
        <v>0</v>
      </c>
      <c r="V448" s="216">
        <v>0</v>
      </c>
      <c r="W448" s="216">
        <v>1710873.98</v>
      </c>
      <c r="X448" s="216">
        <v>1710873.98</v>
      </c>
      <c r="Y448" s="215">
        <v>0</v>
      </c>
      <c r="Z448" s="216">
        <v>1710873.98</v>
      </c>
    </row>
    <row r="449" spans="2:26" ht="25.5" x14ac:dyDescent="0.2">
      <c r="B449" s="212" t="s">
        <v>52</v>
      </c>
      <c r="C449" s="117" t="s">
        <v>3</v>
      </c>
      <c r="D449" s="72" t="s">
        <v>133</v>
      </c>
      <c r="E449" s="72" t="s">
        <v>135</v>
      </c>
      <c r="F449" s="72" t="s">
        <v>135</v>
      </c>
      <c r="G449" s="72" t="s">
        <v>27</v>
      </c>
      <c r="H449" s="67" t="s">
        <v>135</v>
      </c>
      <c r="I449" s="72" t="s">
        <v>53</v>
      </c>
      <c r="J449" s="216">
        <f t="shared" ref="J449:Z449" si="201">J450</f>
        <v>189300</v>
      </c>
      <c r="K449" s="215">
        <f t="shared" si="201"/>
        <v>0</v>
      </c>
      <c r="L449" s="216">
        <f t="shared" si="201"/>
        <v>69300</v>
      </c>
      <c r="M449" s="216">
        <f t="shared" si="201"/>
        <v>0</v>
      </c>
      <c r="N449" s="216">
        <f t="shared" si="201"/>
        <v>69300</v>
      </c>
      <c r="O449" s="216">
        <f t="shared" si="201"/>
        <v>69300</v>
      </c>
      <c r="P449" s="216">
        <f t="shared" si="201"/>
        <v>0</v>
      </c>
      <c r="Q449" s="216">
        <f t="shared" si="201"/>
        <v>0</v>
      </c>
      <c r="R449" s="216">
        <f t="shared" si="201"/>
        <v>69300</v>
      </c>
      <c r="S449" s="216">
        <f t="shared" si="201"/>
        <v>69300</v>
      </c>
      <c r="T449" s="216">
        <f t="shared" si="201"/>
        <v>69300</v>
      </c>
      <c r="U449" s="216">
        <f t="shared" si="201"/>
        <v>0</v>
      </c>
      <c r="V449" s="216">
        <f t="shared" si="201"/>
        <v>0</v>
      </c>
      <c r="W449" s="216">
        <f t="shared" si="201"/>
        <v>69300</v>
      </c>
      <c r="X449" s="216">
        <f t="shared" si="201"/>
        <v>69300</v>
      </c>
      <c r="Y449" s="215">
        <f t="shared" si="201"/>
        <v>0</v>
      </c>
      <c r="Z449" s="216">
        <f t="shared" si="201"/>
        <v>69300</v>
      </c>
    </row>
    <row r="450" spans="2:26" ht="25.5" x14ac:dyDescent="0.2">
      <c r="B450" s="212" t="s">
        <v>54</v>
      </c>
      <c r="C450" s="117" t="s">
        <v>3</v>
      </c>
      <c r="D450" s="72" t="s">
        <v>133</v>
      </c>
      <c r="E450" s="72" t="s">
        <v>135</v>
      </c>
      <c r="F450" s="72" t="s">
        <v>135</v>
      </c>
      <c r="G450" s="72" t="s">
        <v>27</v>
      </c>
      <c r="H450" s="67" t="s">
        <v>135</v>
      </c>
      <c r="I450" s="72" t="s">
        <v>55</v>
      </c>
      <c r="J450" s="216">
        <v>189300</v>
      </c>
      <c r="K450" s="215">
        <v>0</v>
      </c>
      <c r="L450" s="216">
        <v>69300</v>
      </c>
      <c r="M450" s="216">
        <v>0</v>
      </c>
      <c r="N450" s="216">
        <v>69300</v>
      </c>
      <c r="O450" s="216">
        <v>69300</v>
      </c>
      <c r="P450" s="216">
        <v>0</v>
      </c>
      <c r="Q450" s="216">
        <v>0</v>
      </c>
      <c r="R450" s="216">
        <v>69300</v>
      </c>
      <c r="S450" s="216">
        <v>69300</v>
      </c>
      <c r="T450" s="216">
        <v>69300</v>
      </c>
      <c r="U450" s="216">
        <v>0</v>
      </c>
      <c r="V450" s="216">
        <v>0</v>
      </c>
      <c r="W450" s="216">
        <v>69300</v>
      </c>
      <c r="X450" s="216">
        <v>69300</v>
      </c>
      <c r="Y450" s="215">
        <v>0</v>
      </c>
      <c r="Z450" s="216">
        <v>69300</v>
      </c>
    </row>
    <row r="451" spans="2:26" hidden="1" x14ac:dyDescent="0.2">
      <c r="B451" s="212" t="s">
        <v>62</v>
      </c>
      <c r="C451" s="103" t="s">
        <v>3</v>
      </c>
      <c r="D451" s="66" t="s">
        <v>133</v>
      </c>
      <c r="E451" s="66" t="s">
        <v>135</v>
      </c>
      <c r="F451" s="66" t="s">
        <v>135</v>
      </c>
      <c r="G451" s="66" t="s">
        <v>27</v>
      </c>
      <c r="H451" s="67" t="s">
        <v>135</v>
      </c>
      <c r="I451" s="72" t="s">
        <v>63</v>
      </c>
      <c r="J451" s="210">
        <f t="shared" ref="J451:Z451" si="202">J452</f>
        <v>0</v>
      </c>
      <c r="K451" s="209">
        <f t="shared" si="202"/>
        <v>0</v>
      </c>
      <c r="L451" s="209">
        <f t="shared" si="202"/>
        <v>0</v>
      </c>
      <c r="M451" s="209">
        <f t="shared" si="202"/>
        <v>0</v>
      </c>
      <c r="N451" s="209">
        <f t="shared" si="202"/>
        <v>0</v>
      </c>
      <c r="O451" s="210">
        <f t="shared" si="202"/>
        <v>0</v>
      </c>
      <c r="P451" s="210">
        <f t="shared" si="202"/>
        <v>0</v>
      </c>
      <c r="Q451" s="209">
        <f t="shared" si="202"/>
        <v>0</v>
      </c>
      <c r="R451" s="209">
        <f t="shared" si="202"/>
        <v>0</v>
      </c>
      <c r="S451" s="210">
        <f t="shared" si="202"/>
        <v>0</v>
      </c>
      <c r="T451" s="211">
        <f t="shared" si="202"/>
        <v>0</v>
      </c>
      <c r="U451" s="211">
        <f t="shared" si="202"/>
        <v>0</v>
      </c>
      <c r="V451" s="210">
        <f t="shared" si="202"/>
        <v>0</v>
      </c>
      <c r="W451" s="210">
        <f t="shared" si="202"/>
        <v>0</v>
      </c>
      <c r="X451" s="211">
        <f t="shared" si="202"/>
        <v>0</v>
      </c>
      <c r="Y451" s="118">
        <f t="shared" si="202"/>
        <v>0</v>
      </c>
      <c r="Z451" s="210">
        <f t="shared" si="202"/>
        <v>0</v>
      </c>
    </row>
    <row r="452" spans="2:26" hidden="1" x14ac:dyDescent="0.2">
      <c r="B452" s="212" t="s">
        <v>64</v>
      </c>
      <c r="C452" s="103" t="s">
        <v>3</v>
      </c>
      <c r="D452" s="66" t="s">
        <v>133</v>
      </c>
      <c r="E452" s="66" t="s">
        <v>135</v>
      </c>
      <c r="F452" s="66" t="s">
        <v>135</v>
      </c>
      <c r="G452" s="66" t="s">
        <v>27</v>
      </c>
      <c r="H452" s="67" t="s">
        <v>135</v>
      </c>
      <c r="I452" s="72" t="s">
        <v>65</v>
      </c>
      <c r="J452" s="210">
        <v>0</v>
      </c>
      <c r="K452" s="209">
        <v>0</v>
      </c>
      <c r="L452" s="209">
        <v>0</v>
      </c>
      <c r="M452" s="209">
        <v>0</v>
      </c>
      <c r="N452" s="209">
        <v>0</v>
      </c>
      <c r="O452" s="210">
        <v>0</v>
      </c>
      <c r="P452" s="210">
        <v>0</v>
      </c>
      <c r="Q452" s="209">
        <v>0</v>
      </c>
      <c r="R452" s="209">
        <v>0</v>
      </c>
      <c r="S452" s="210">
        <v>0</v>
      </c>
      <c r="T452" s="211">
        <v>0</v>
      </c>
      <c r="U452" s="211">
        <v>0</v>
      </c>
      <c r="V452" s="210">
        <v>0</v>
      </c>
      <c r="W452" s="210">
        <v>0</v>
      </c>
      <c r="X452" s="211">
        <v>0</v>
      </c>
      <c r="Y452" s="118">
        <v>0</v>
      </c>
      <c r="Z452" s="210">
        <v>0</v>
      </c>
    </row>
    <row r="453" spans="2:26" x14ac:dyDescent="0.2">
      <c r="B453" s="280"/>
      <c r="C453" s="305"/>
      <c r="D453" s="144"/>
      <c r="E453" s="144"/>
      <c r="F453" s="144"/>
      <c r="G453" s="144"/>
      <c r="H453" s="306"/>
      <c r="I453" s="144"/>
      <c r="J453" s="265"/>
      <c r="K453" s="264"/>
      <c r="L453" s="264"/>
      <c r="M453" s="264"/>
      <c r="N453" s="264"/>
      <c r="O453" s="265"/>
      <c r="P453" s="265"/>
      <c r="Q453" s="264"/>
      <c r="R453" s="264"/>
      <c r="S453" s="265"/>
      <c r="T453" s="266"/>
      <c r="U453" s="266"/>
      <c r="V453" s="265"/>
      <c r="W453" s="265"/>
      <c r="X453" s="266"/>
      <c r="Y453" s="288"/>
      <c r="Z453" s="265"/>
    </row>
    <row r="454" spans="2:26" ht="31.5" x14ac:dyDescent="0.2">
      <c r="B454" s="344" t="s">
        <v>30</v>
      </c>
      <c r="C454" s="251" t="s">
        <v>4</v>
      </c>
      <c r="D454" s="252" t="s">
        <v>135</v>
      </c>
      <c r="E454" s="253" t="s">
        <v>135</v>
      </c>
      <c r="F454" s="253" t="s">
        <v>135</v>
      </c>
      <c r="G454" s="252" t="s">
        <v>136</v>
      </c>
      <c r="H454" s="240" t="s">
        <v>135</v>
      </c>
      <c r="I454" s="184"/>
      <c r="J454" s="255">
        <f>J465</f>
        <v>2141100</v>
      </c>
      <c r="K454" s="255">
        <f>K458+K462+K464+K465</f>
        <v>331938</v>
      </c>
      <c r="L454" s="255">
        <f>L458+L462+L464+L465</f>
        <v>3334689.64</v>
      </c>
      <c r="M454" s="255">
        <f>M458+M462+M464+M465</f>
        <v>0</v>
      </c>
      <c r="N454" s="255">
        <f>N458+N462+N464+N465</f>
        <v>3334689.64</v>
      </c>
      <c r="O454" s="256">
        <f>O455+O459+O465</f>
        <v>3334689.64</v>
      </c>
      <c r="P454" s="256">
        <f>P455+P459+P465</f>
        <v>0</v>
      </c>
      <c r="Q454" s="255">
        <f>Q458+Q462+Q464+Q465</f>
        <v>0</v>
      </c>
      <c r="R454" s="255">
        <f>R458+R462+R464+R465</f>
        <v>3334689.64</v>
      </c>
      <c r="S454" s="256">
        <f>S455+S459+S465</f>
        <v>3334689.64</v>
      </c>
      <c r="T454" s="257">
        <f>T458+T462+T464+T465</f>
        <v>3334689.64</v>
      </c>
      <c r="U454" s="257">
        <f>U458+U462+U464+U465</f>
        <v>0</v>
      </c>
      <c r="V454" s="256">
        <f>V455+V459+V465</f>
        <v>0</v>
      </c>
      <c r="W454" s="256">
        <f>W455+W459+W465</f>
        <v>3334689.64</v>
      </c>
      <c r="X454" s="257">
        <f>X458+X462+X464+X465</f>
        <v>3334689.64</v>
      </c>
      <c r="Y454" s="254">
        <f>Y458+Y462+Y464+Y465</f>
        <v>0</v>
      </c>
      <c r="Z454" s="256">
        <f>Z458+Z462+Z464+Z465</f>
        <v>3334689.64</v>
      </c>
    </row>
    <row r="455" spans="2:26" ht="25.5" x14ac:dyDescent="0.2">
      <c r="B455" s="212" t="s">
        <v>324</v>
      </c>
      <c r="C455" s="103" t="s">
        <v>4</v>
      </c>
      <c r="D455" s="66" t="s">
        <v>137</v>
      </c>
      <c r="E455" s="66" t="s">
        <v>135</v>
      </c>
      <c r="F455" s="66" t="s">
        <v>135</v>
      </c>
      <c r="G455" s="66" t="s">
        <v>136</v>
      </c>
      <c r="H455" s="66" t="s">
        <v>135</v>
      </c>
      <c r="I455" s="246"/>
      <c r="J455" s="209">
        <f>J456</f>
        <v>0</v>
      </c>
      <c r="K455" s="209">
        <f t="shared" ref="K455:Z457" si="203">K456</f>
        <v>1540338</v>
      </c>
      <c r="L455" s="209">
        <f t="shared" si="203"/>
        <v>1885691.81</v>
      </c>
      <c r="M455" s="209">
        <f t="shared" si="203"/>
        <v>0</v>
      </c>
      <c r="N455" s="209">
        <f t="shared" si="203"/>
        <v>1885691.81</v>
      </c>
      <c r="O455" s="210">
        <f t="shared" ref="O455:Z456" si="204">O456</f>
        <v>1885691.81</v>
      </c>
      <c r="P455" s="210">
        <f t="shared" si="204"/>
        <v>0</v>
      </c>
      <c r="Q455" s="209">
        <f t="shared" si="203"/>
        <v>0</v>
      </c>
      <c r="R455" s="209">
        <f t="shared" si="203"/>
        <v>1885691.81</v>
      </c>
      <c r="S455" s="210">
        <f t="shared" si="204"/>
        <v>1885691.81</v>
      </c>
      <c r="T455" s="211">
        <f t="shared" si="204"/>
        <v>1885691.81</v>
      </c>
      <c r="U455" s="211">
        <f t="shared" si="204"/>
        <v>0</v>
      </c>
      <c r="V455" s="210">
        <f t="shared" si="204"/>
        <v>0</v>
      </c>
      <c r="W455" s="210">
        <f t="shared" si="204"/>
        <v>1885691.81</v>
      </c>
      <c r="X455" s="211">
        <f t="shared" si="204"/>
        <v>1885691.81</v>
      </c>
      <c r="Y455" s="118">
        <f t="shared" si="204"/>
        <v>0</v>
      </c>
      <c r="Z455" s="210">
        <f t="shared" si="204"/>
        <v>1885691.81</v>
      </c>
    </row>
    <row r="456" spans="2:26" ht="25.5" x14ac:dyDescent="0.2">
      <c r="B456" s="213" t="s">
        <v>29</v>
      </c>
      <c r="C456" s="103" t="s">
        <v>4</v>
      </c>
      <c r="D456" s="66" t="s">
        <v>137</v>
      </c>
      <c r="E456" s="66" t="s">
        <v>135</v>
      </c>
      <c r="F456" s="66" t="s">
        <v>135</v>
      </c>
      <c r="G456" s="66" t="s">
        <v>27</v>
      </c>
      <c r="H456" s="66" t="s">
        <v>135</v>
      </c>
      <c r="I456" s="246"/>
      <c r="J456" s="209">
        <f>J457</f>
        <v>0</v>
      </c>
      <c r="K456" s="209">
        <f t="shared" si="203"/>
        <v>1540338</v>
      </c>
      <c r="L456" s="209">
        <f t="shared" si="203"/>
        <v>1885691.81</v>
      </c>
      <c r="M456" s="209">
        <f t="shared" si="203"/>
        <v>0</v>
      </c>
      <c r="N456" s="209">
        <f t="shared" si="203"/>
        <v>1885691.81</v>
      </c>
      <c r="O456" s="210">
        <f t="shared" si="204"/>
        <v>1885691.81</v>
      </c>
      <c r="P456" s="210">
        <f t="shared" si="204"/>
        <v>0</v>
      </c>
      <c r="Q456" s="209">
        <f t="shared" si="203"/>
        <v>0</v>
      </c>
      <c r="R456" s="209">
        <f t="shared" si="203"/>
        <v>1885691.81</v>
      </c>
      <c r="S456" s="210">
        <f t="shared" si="204"/>
        <v>1885691.81</v>
      </c>
      <c r="T456" s="211">
        <f t="shared" si="204"/>
        <v>1885691.81</v>
      </c>
      <c r="U456" s="211">
        <f t="shared" si="204"/>
        <v>0</v>
      </c>
      <c r="V456" s="210">
        <f t="shared" si="204"/>
        <v>0</v>
      </c>
      <c r="W456" s="210">
        <f t="shared" si="204"/>
        <v>1885691.81</v>
      </c>
      <c r="X456" s="211">
        <f t="shared" si="204"/>
        <v>1885691.81</v>
      </c>
      <c r="Y456" s="118">
        <f t="shared" si="204"/>
        <v>0</v>
      </c>
      <c r="Z456" s="210">
        <f t="shared" si="204"/>
        <v>1885691.81</v>
      </c>
    </row>
    <row r="457" spans="2:26" ht="51" x14ac:dyDescent="0.2">
      <c r="B457" s="212" t="s">
        <v>67</v>
      </c>
      <c r="C457" s="103" t="s">
        <v>4</v>
      </c>
      <c r="D457" s="66" t="s">
        <v>137</v>
      </c>
      <c r="E457" s="66" t="s">
        <v>135</v>
      </c>
      <c r="F457" s="66" t="s">
        <v>135</v>
      </c>
      <c r="G457" s="66" t="s">
        <v>27</v>
      </c>
      <c r="H457" s="66" t="s">
        <v>135</v>
      </c>
      <c r="I457" s="214">
        <v>100</v>
      </c>
      <c r="J457" s="209">
        <f>J458</f>
        <v>0</v>
      </c>
      <c r="K457" s="209">
        <f t="shared" si="203"/>
        <v>1540338</v>
      </c>
      <c r="L457" s="345">
        <f t="shared" si="203"/>
        <v>1885691.81</v>
      </c>
      <c r="M457" s="345">
        <f t="shared" si="203"/>
        <v>0</v>
      </c>
      <c r="N457" s="345">
        <f t="shared" si="203"/>
        <v>1885691.81</v>
      </c>
      <c r="O457" s="345">
        <f t="shared" si="203"/>
        <v>1885691.81</v>
      </c>
      <c r="P457" s="345">
        <f t="shared" si="203"/>
        <v>0</v>
      </c>
      <c r="Q457" s="345">
        <f t="shared" si="203"/>
        <v>0</v>
      </c>
      <c r="R457" s="345">
        <f t="shared" si="203"/>
        <v>1885691.81</v>
      </c>
      <c r="S457" s="345">
        <f t="shared" si="203"/>
        <v>1885691.81</v>
      </c>
      <c r="T457" s="345">
        <f t="shared" si="203"/>
        <v>1885691.81</v>
      </c>
      <c r="U457" s="345">
        <f t="shared" si="203"/>
        <v>0</v>
      </c>
      <c r="V457" s="345">
        <f t="shared" si="203"/>
        <v>0</v>
      </c>
      <c r="W457" s="345">
        <f t="shared" si="203"/>
        <v>1885691.81</v>
      </c>
      <c r="X457" s="345">
        <f t="shared" si="203"/>
        <v>1885691.81</v>
      </c>
      <c r="Y457" s="475">
        <f t="shared" si="203"/>
        <v>0</v>
      </c>
      <c r="Z457" s="345">
        <f t="shared" si="203"/>
        <v>1885691.81</v>
      </c>
    </row>
    <row r="458" spans="2:26" ht="25.5" x14ac:dyDescent="0.2">
      <c r="B458" s="212" t="s">
        <v>61</v>
      </c>
      <c r="C458" s="103" t="s">
        <v>4</v>
      </c>
      <c r="D458" s="66" t="s">
        <v>137</v>
      </c>
      <c r="E458" s="66" t="s">
        <v>135</v>
      </c>
      <c r="F458" s="66" t="s">
        <v>135</v>
      </c>
      <c r="G458" s="66" t="s">
        <v>27</v>
      </c>
      <c r="H458" s="66" t="s">
        <v>135</v>
      </c>
      <c r="I458" s="214">
        <v>120</v>
      </c>
      <c r="J458" s="209">
        <v>0</v>
      </c>
      <c r="K458" s="209">
        <f>1208400+331938</f>
        <v>1540338</v>
      </c>
      <c r="L458" s="345">
        <v>1885691.81</v>
      </c>
      <c r="M458" s="345">
        <v>0</v>
      </c>
      <c r="N458" s="345">
        <v>1885691.81</v>
      </c>
      <c r="O458" s="345">
        <v>1885691.81</v>
      </c>
      <c r="P458" s="345">
        <v>0</v>
      </c>
      <c r="Q458" s="345">
        <v>0</v>
      </c>
      <c r="R458" s="345">
        <v>1885691.81</v>
      </c>
      <c r="S458" s="345">
        <v>1885691.81</v>
      </c>
      <c r="T458" s="345">
        <v>1885691.81</v>
      </c>
      <c r="U458" s="345">
        <v>0</v>
      </c>
      <c r="V458" s="345">
        <v>0</v>
      </c>
      <c r="W458" s="345">
        <v>1885691.81</v>
      </c>
      <c r="X458" s="345">
        <v>1885691.81</v>
      </c>
      <c r="Y458" s="475">
        <v>0</v>
      </c>
      <c r="Z458" s="345">
        <v>1885691.81</v>
      </c>
    </row>
    <row r="459" spans="2:26" x14ac:dyDescent="0.2">
      <c r="B459" s="213" t="s">
        <v>323</v>
      </c>
      <c r="C459" s="103" t="s">
        <v>4</v>
      </c>
      <c r="D459" s="66" t="s">
        <v>133</v>
      </c>
      <c r="E459" s="66" t="s">
        <v>135</v>
      </c>
      <c r="F459" s="66" t="s">
        <v>135</v>
      </c>
      <c r="G459" s="66" t="s">
        <v>136</v>
      </c>
      <c r="H459" s="66" t="s">
        <v>135</v>
      </c>
      <c r="I459" s="246"/>
      <c r="J459" s="209">
        <f t="shared" ref="J459:Z459" si="205">J460</f>
        <v>0</v>
      </c>
      <c r="K459" s="209">
        <f t="shared" si="205"/>
        <v>932700</v>
      </c>
      <c r="L459" s="209">
        <f t="shared" si="205"/>
        <v>1448997.83</v>
      </c>
      <c r="M459" s="209">
        <f t="shared" si="205"/>
        <v>0</v>
      </c>
      <c r="N459" s="209">
        <f t="shared" si="205"/>
        <v>1448997.83</v>
      </c>
      <c r="O459" s="210">
        <f t="shared" si="205"/>
        <v>1448997.83</v>
      </c>
      <c r="P459" s="210">
        <f t="shared" si="205"/>
        <v>0</v>
      </c>
      <c r="Q459" s="209">
        <f t="shared" si="205"/>
        <v>0</v>
      </c>
      <c r="R459" s="209">
        <f t="shared" si="205"/>
        <v>1448997.83</v>
      </c>
      <c r="S459" s="210">
        <f t="shared" si="205"/>
        <v>1448997.83</v>
      </c>
      <c r="T459" s="211">
        <f t="shared" si="205"/>
        <v>1448997.83</v>
      </c>
      <c r="U459" s="211">
        <f t="shared" si="205"/>
        <v>0</v>
      </c>
      <c r="V459" s="210">
        <f t="shared" si="205"/>
        <v>0</v>
      </c>
      <c r="W459" s="210">
        <f t="shared" si="205"/>
        <v>1448997.83</v>
      </c>
      <c r="X459" s="211">
        <f t="shared" si="205"/>
        <v>1448997.83</v>
      </c>
      <c r="Y459" s="118">
        <f t="shared" si="205"/>
        <v>0</v>
      </c>
      <c r="Z459" s="210">
        <f t="shared" si="205"/>
        <v>1448997.83</v>
      </c>
    </row>
    <row r="460" spans="2:26" ht="25.5" x14ac:dyDescent="0.2">
      <c r="B460" s="213" t="s">
        <v>29</v>
      </c>
      <c r="C460" s="103" t="s">
        <v>4</v>
      </c>
      <c r="D460" s="66" t="s">
        <v>133</v>
      </c>
      <c r="E460" s="66" t="s">
        <v>135</v>
      </c>
      <c r="F460" s="66" t="s">
        <v>135</v>
      </c>
      <c r="G460" s="66" t="s">
        <v>27</v>
      </c>
      <c r="H460" s="66" t="s">
        <v>135</v>
      </c>
      <c r="I460" s="246"/>
      <c r="J460" s="209">
        <f t="shared" ref="J460:X460" si="206">J461+J463</f>
        <v>0</v>
      </c>
      <c r="K460" s="209">
        <f t="shared" si="206"/>
        <v>932700</v>
      </c>
      <c r="L460" s="209">
        <f t="shared" si="206"/>
        <v>1448997.83</v>
      </c>
      <c r="M460" s="209">
        <f t="shared" si="206"/>
        <v>0</v>
      </c>
      <c r="N460" s="209">
        <f t="shared" si="206"/>
        <v>1448997.83</v>
      </c>
      <c r="O460" s="210">
        <f t="shared" si="206"/>
        <v>1448997.83</v>
      </c>
      <c r="P460" s="210">
        <f t="shared" si="206"/>
        <v>0</v>
      </c>
      <c r="Q460" s="209">
        <f>Q461+Q463</f>
        <v>0</v>
      </c>
      <c r="R460" s="209">
        <f>R461+R463</f>
        <v>1448997.83</v>
      </c>
      <c r="S460" s="210">
        <f t="shared" si="206"/>
        <v>1448997.83</v>
      </c>
      <c r="T460" s="211">
        <f t="shared" si="206"/>
        <v>1448997.83</v>
      </c>
      <c r="U460" s="211">
        <f t="shared" si="206"/>
        <v>0</v>
      </c>
      <c r="V460" s="210">
        <f>V461+V463</f>
        <v>0</v>
      </c>
      <c r="W460" s="210">
        <f>W461+W463</f>
        <v>1448997.83</v>
      </c>
      <c r="X460" s="211">
        <f t="shared" si="206"/>
        <v>1448997.83</v>
      </c>
      <c r="Y460" s="118">
        <f>Y461+Y463</f>
        <v>0</v>
      </c>
      <c r="Z460" s="210">
        <f>Z461+Z463</f>
        <v>1448997.83</v>
      </c>
    </row>
    <row r="461" spans="2:26" ht="51" x14ac:dyDescent="0.2">
      <c r="B461" s="212" t="s">
        <v>67</v>
      </c>
      <c r="C461" s="103" t="s">
        <v>4</v>
      </c>
      <c r="D461" s="66" t="s">
        <v>133</v>
      </c>
      <c r="E461" s="66" t="s">
        <v>135</v>
      </c>
      <c r="F461" s="66" t="s">
        <v>135</v>
      </c>
      <c r="G461" s="66" t="s">
        <v>27</v>
      </c>
      <c r="H461" s="66" t="s">
        <v>135</v>
      </c>
      <c r="I461" s="214">
        <v>100</v>
      </c>
      <c r="J461" s="209">
        <f t="shared" ref="J461:Z461" si="207">J462</f>
        <v>0</v>
      </c>
      <c r="K461" s="209">
        <f t="shared" si="207"/>
        <v>891600</v>
      </c>
      <c r="L461" s="345">
        <f t="shared" si="207"/>
        <v>1407897.83</v>
      </c>
      <c r="M461" s="345">
        <f t="shared" si="207"/>
        <v>0</v>
      </c>
      <c r="N461" s="345">
        <f t="shared" si="207"/>
        <v>1407897.83</v>
      </c>
      <c r="O461" s="345">
        <f t="shared" si="207"/>
        <v>1407897.83</v>
      </c>
      <c r="P461" s="345">
        <f t="shared" si="207"/>
        <v>0</v>
      </c>
      <c r="Q461" s="345">
        <f t="shared" si="207"/>
        <v>0</v>
      </c>
      <c r="R461" s="345">
        <f t="shared" si="207"/>
        <v>1407897.83</v>
      </c>
      <c r="S461" s="345">
        <f t="shared" si="207"/>
        <v>1407897.83</v>
      </c>
      <c r="T461" s="345">
        <f t="shared" si="207"/>
        <v>1407897.83</v>
      </c>
      <c r="U461" s="345">
        <f t="shared" si="207"/>
        <v>0</v>
      </c>
      <c r="V461" s="345">
        <f t="shared" si="207"/>
        <v>0</v>
      </c>
      <c r="W461" s="345">
        <f t="shared" si="207"/>
        <v>1407897.83</v>
      </c>
      <c r="X461" s="345">
        <f t="shared" si="207"/>
        <v>1407897.83</v>
      </c>
      <c r="Y461" s="475">
        <f t="shared" si="207"/>
        <v>0</v>
      </c>
      <c r="Z461" s="345">
        <f t="shared" si="207"/>
        <v>1407897.83</v>
      </c>
    </row>
    <row r="462" spans="2:26" ht="25.5" x14ac:dyDescent="0.2">
      <c r="B462" s="212" t="s">
        <v>61</v>
      </c>
      <c r="C462" s="103" t="s">
        <v>4</v>
      </c>
      <c r="D462" s="66" t="s">
        <v>133</v>
      </c>
      <c r="E462" s="66" t="s">
        <v>135</v>
      </c>
      <c r="F462" s="66" t="s">
        <v>135</v>
      </c>
      <c r="G462" s="66" t="s">
        <v>27</v>
      </c>
      <c r="H462" s="66" t="s">
        <v>135</v>
      </c>
      <c r="I462" s="214">
        <v>120</v>
      </c>
      <c r="J462" s="209">
        <v>0</v>
      </c>
      <c r="K462" s="209">
        <v>891600</v>
      </c>
      <c r="L462" s="345">
        <v>1407897.83</v>
      </c>
      <c r="M462" s="345">
        <v>0</v>
      </c>
      <c r="N462" s="345">
        <v>1407897.83</v>
      </c>
      <c r="O462" s="345">
        <v>1407897.83</v>
      </c>
      <c r="P462" s="345">
        <v>0</v>
      </c>
      <c r="Q462" s="345">
        <v>0</v>
      </c>
      <c r="R462" s="345">
        <v>1407897.83</v>
      </c>
      <c r="S462" s="345">
        <v>1407897.83</v>
      </c>
      <c r="T462" s="345">
        <v>1407897.83</v>
      </c>
      <c r="U462" s="345">
        <v>0</v>
      </c>
      <c r="V462" s="345">
        <v>0</v>
      </c>
      <c r="W462" s="345">
        <v>1407897.83</v>
      </c>
      <c r="X462" s="345">
        <v>1407897.83</v>
      </c>
      <c r="Y462" s="475">
        <v>0</v>
      </c>
      <c r="Z462" s="345">
        <v>1407897.83</v>
      </c>
    </row>
    <row r="463" spans="2:26" ht="25.5" x14ac:dyDescent="0.2">
      <c r="B463" s="212" t="s">
        <v>52</v>
      </c>
      <c r="C463" s="103" t="s">
        <v>4</v>
      </c>
      <c r="D463" s="66" t="s">
        <v>133</v>
      </c>
      <c r="E463" s="66" t="s">
        <v>135</v>
      </c>
      <c r="F463" s="66" t="s">
        <v>135</v>
      </c>
      <c r="G463" s="66" t="s">
        <v>27</v>
      </c>
      <c r="H463" s="66" t="s">
        <v>135</v>
      </c>
      <c r="I463" s="214" t="s">
        <v>53</v>
      </c>
      <c r="J463" s="209">
        <f t="shared" ref="J463:Z463" si="208">J464</f>
        <v>0</v>
      </c>
      <c r="K463" s="209">
        <f t="shared" si="208"/>
        <v>41100</v>
      </c>
      <c r="L463" s="345">
        <f t="shared" si="208"/>
        <v>41100</v>
      </c>
      <c r="M463" s="345">
        <f t="shared" si="208"/>
        <v>0</v>
      </c>
      <c r="N463" s="345">
        <f t="shared" si="208"/>
        <v>41100</v>
      </c>
      <c r="O463" s="345">
        <f t="shared" si="208"/>
        <v>41100</v>
      </c>
      <c r="P463" s="345">
        <f t="shared" si="208"/>
        <v>0</v>
      </c>
      <c r="Q463" s="345">
        <f t="shared" si="208"/>
        <v>0</v>
      </c>
      <c r="R463" s="345">
        <f t="shared" si="208"/>
        <v>41100</v>
      </c>
      <c r="S463" s="345">
        <f t="shared" si="208"/>
        <v>41100</v>
      </c>
      <c r="T463" s="345">
        <f t="shared" si="208"/>
        <v>41100</v>
      </c>
      <c r="U463" s="345">
        <f t="shared" si="208"/>
        <v>0</v>
      </c>
      <c r="V463" s="345">
        <f t="shared" si="208"/>
        <v>0</v>
      </c>
      <c r="W463" s="345">
        <f t="shared" si="208"/>
        <v>41100</v>
      </c>
      <c r="X463" s="345">
        <f t="shared" si="208"/>
        <v>41100</v>
      </c>
      <c r="Y463" s="475">
        <f t="shared" si="208"/>
        <v>0</v>
      </c>
      <c r="Z463" s="345">
        <f t="shared" si="208"/>
        <v>41100</v>
      </c>
    </row>
    <row r="464" spans="2:26" ht="25.5" x14ac:dyDescent="0.2">
      <c r="B464" s="212" t="s">
        <v>54</v>
      </c>
      <c r="C464" s="103" t="s">
        <v>4</v>
      </c>
      <c r="D464" s="66" t="s">
        <v>133</v>
      </c>
      <c r="E464" s="66" t="s">
        <v>135</v>
      </c>
      <c r="F464" s="66" t="s">
        <v>135</v>
      </c>
      <c r="G464" s="66" t="s">
        <v>27</v>
      </c>
      <c r="H464" s="66" t="s">
        <v>135</v>
      </c>
      <c r="I464" s="214">
        <v>240</v>
      </c>
      <c r="J464" s="209">
        <v>0</v>
      </c>
      <c r="K464" s="209">
        <v>41100</v>
      </c>
      <c r="L464" s="346">
        <v>41100</v>
      </c>
      <c r="M464" s="346">
        <v>0</v>
      </c>
      <c r="N464" s="346">
        <v>41100</v>
      </c>
      <c r="O464" s="346">
        <v>41100</v>
      </c>
      <c r="P464" s="346">
        <v>0</v>
      </c>
      <c r="Q464" s="346">
        <v>0</v>
      </c>
      <c r="R464" s="346">
        <v>41100</v>
      </c>
      <c r="S464" s="346">
        <v>41100</v>
      </c>
      <c r="T464" s="346">
        <v>41100</v>
      </c>
      <c r="U464" s="346">
        <v>0</v>
      </c>
      <c r="V464" s="346">
        <v>0</v>
      </c>
      <c r="W464" s="346">
        <v>41100</v>
      </c>
      <c r="X464" s="346">
        <v>41100</v>
      </c>
      <c r="Y464" s="477">
        <v>0</v>
      </c>
      <c r="Z464" s="346">
        <v>41100</v>
      </c>
    </row>
    <row r="465" spans="2:26" ht="25.5" hidden="1" x14ac:dyDescent="0.2">
      <c r="B465" s="213" t="s">
        <v>29</v>
      </c>
      <c r="C465" s="117" t="s">
        <v>4</v>
      </c>
      <c r="D465" s="72" t="s">
        <v>135</v>
      </c>
      <c r="E465" s="72" t="s">
        <v>135</v>
      </c>
      <c r="F465" s="72" t="s">
        <v>135</v>
      </c>
      <c r="G465" s="72" t="s">
        <v>27</v>
      </c>
      <c r="H465" s="66" t="s">
        <v>135</v>
      </c>
      <c r="I465" s="214"/>
      <c r="J465" s="209">
        <f>J466+J468</f>
        <v>2141100</v>
      </c>
      <c r="K465" s="209">
        <f>K466+K468</f>
        <v>-2141100</v>
      </c>
      <c r="L465" s="209">
        <v>0</v>
      </c>
      <c r="M465" s="209">
        <v>0</v>
      </c>
      <c r="N465" s="209">
        <v>0</v>
      </c>
      <c r="O465" s="210">
        <f t="shared" ref="O465:X465" si="209">O466+O468</f>
        <v>0</v>
      </c>
      <c r="P465" s="210">
        <f t="shared" si="209"/>
        <v>0</v>
      </c>
      <c r="Q465" s="209">
        <v>0</v>
      </c>
      <c r="R465" s="209">
        <v>0</v>
      </c>
      <c r="S465" s="210">
        <f t="shared" si="209"/>
        <v>0</v>
      </c>
      <c r="T465" s="211">
        <f t="shared" si="209"/>
        <v>0</v>
      </c>
      <c r="U465" s="211">
        <f t="shared" si="209"/>
        <v>0</v>
      </c>
      <c r="V465" s="210">
        <f>V466+V468</f>
        <v>0</v>
      </c>
      <c r="W465" s="210">
        <f>W466+W468</f>
        <v>0</v>
      </c>
      <c r="X465" s="211">
        <f t="shared" si="209"/>
        <v>0</v>
      </c>
      <c r="Y465" s="118">
        <f>Y466+Y468</f>
        <v>0</v>
      </c>
      <c r="Z465" s="210">
        <f>Z466+Z468</f>
        <v>0</v>
      </c>
    </row>
    <row r="466" spans="2:26" ht="51" hidden="1" x14ac:dyDescent="0.2">
      <c r="B466" s="212" t="s">
        <v>67</v>
      </c>
      <c r="C466" s="117" t="s">
        <v>4</v>
      </c>
      <c r="D466" s="72" t="s">
        <v>135</v>
      </c>
      <c r="E466" s="72" t="s">
        <v>135</v>
      </c>
      <c r="F466" s="72" t="s">
        <v>135</v>
      </c>
      <c r="G466" s="72" t="s">
        <v>27</v>
      </c>
      <c r="H466" s="66" t="s">
        <v>135</v>
      </c>
      <c r="I466" s="214">
        <v>100</v>
      </c>
      <c r="J466" s="209">
        <f t="shared" ref="J466:Z466" si="210">J467</f>
        <v>2100000</v>
      </c>
      <c r="K466" s="209">
        <f t="shared" si="210"/>
        <v>-2100000</v>
      </c>
      <c r="L466" s="209">
        <f t="shared" si="210"/>
        <v>0</v>
      </c>
      <c r="M466" s="209">
        <f t="shared" si="210"/>
        <v>-2100000</v>
      </c>
      <c r="N466" s="209">
        <f t="shared" si="210"/>
        <v>-2100000</v>
      </c>
      <c r="O466" s="210">
        <f t="shared" si="210"/>
        <v>0</v>
      </c>
      <c r="P466" s="210">
        <f t="shared" si="210"/>
        <v>0</v>
      </c>
      <c r="Q466" s="209">
        <f t="shared" si="210"/>
        <v>0</v>
      </c>
      <c r="R466" s="209">
        <f t="shared" si="210"/>
        <v>0</v>
      </c>
      <c r="S466" s="210">
        <f t="shared" si="210"/>
        <v>0</v>
      </c>
      <c r="T466" s="211">
        <f t="shared" si="210"/>
        <v>0</v>
      </c>
      <c r="U466" s="211">
        <f t="shared" si="210"/>
        <v>0</v>
      </c>
      <c r="V466" s="210">
        <f t="shared" si="210"/>
        <v>0</v>
      </c>
      <c r="W466" s="210">
        <f t="shared" si="210"/>
        <v>0</v>
      </c>
      <c r="X466" s="211">
        <f t="shared" si="210"/>
        <v>0</v>
      </c>
      <c r="Y466" s="118">
        <f t="shared" si="210"/>
        <v>0</v>
      </c>
      <c r="Z466" s="210">
        <f t="shared" si="210"/>
        <v>0</v>
      </c>
    </row>
    <row r="467" spans="2:26" ht="25.5" hidden="1" x14ac:dyDescent="0.2">
      <c r="B467" s="212" t="s">
        <v>61</v>
      </c>
      <c r="C467" s="117" t="s">
        <v>4</v>
      </c>
      <c r="D467" s="72" t="s">
        <v>135</v>
      </c>
      <c r="E467" s="72" t="s">
        <v>135</v>
      </c>
      <c r="F467" s="72" t="s">
        <v>135</v>
      </c>
      <c r="G467" s="72" t="s">
        <v>27</v>
      </c>
      <c r="H467" s="66" t="s">
        <v>135</v>
      </c>
      <c r="I467" s="214">
        <v>120</v>
      </c>
      <c r="J467" s="209">
        <v>2100000</v>
      </c>
      <c r="K467" s="209">
        <v>-2100000</v>
      </c>
      <c r="L467" s="209">
        <f>K467+J467</f>
        <v>0</v>
      </c>
      <c r="M467" s="209">
        <f>L467+K467</f>
        <v>-2100000</v>
      </c>
      <c r="N467" s="209">
        <f>M467+L467</f>
        <v>-2100000</v>
      </c>
      <c r="O467" s="210">
        <v>0</v>
      </c>
      <c r="P467" s="210">
        <v>0</v>
      </c>
      <c r="Q467" s="209">
        <f>P467+O467</f>
        <v>0</v>
      </c>
      <c r="R467" s="209">
        <f>Q467+P467</f>
        <v>0</v>
      </c>
      <c r="S467" s="210">
        <v>0</v>
      </c>
      <c r="T467" s="211">
        <v>0</v>
      </c>
      <c r="U467" s="211">
        <v>0</v>
      </c>
      <c r="V467" s="210">
        <v>0</v>
      </c>
      <c r="W467" s="210">
        <v>0</v>
      </c>
      <c r="X467" s="211">
        <v>0</v>
      </c>
      <c r="Y467" s="118">
        <v>0</v>
      </c>
      <c r="Z467" s="210">
        <v>0</v>
      </c>
    </row>
    <row r="468" spans="2:26" ht="25.5" hidden="1" x14ac:dyDescent="0.2">
      <c r="B468" s="212" t="s">
        <v>52</v>
      </c>
      <c r="C468" s="117" t="s">
        <v>4</v>
      </c>
      <c r="D468" s="72" t="s">
        <v>135</v>
      </c>
      <c r="E468" s="72" t="s">
        <v>135</v>
      </c>
      <c r="F468" s="72" t="s">
        <v>135</v>
      </c>
      <c r="G468" s="72" t="s">
        <v>27</v>
      </c>
      <c r="H468" s="66" t="s">
        <v>135</v>
      </c>
      <c r="I468" s="214">
        <v>200</v>
      </c>
      <c r="J468" s="209">
        <f>J469</f>
        <v>41100</v>
      </c>
      <c r="K468" s="209">
        <f>K469</f>
        <v>-41100</v>
      </c>
      <c r="L468" s="209">
        <f>L469</f>
        <v>0</v>
      </c>
      <c r="M468" s="209">
        <f>M469</f>
        <v>-41100</v>
      </c>
      <c r="N468" s="209">
        <f>N469</f>
        <v>-41100</v>
      </c>
      <c r="O468" s="210">
        <v>0</v>
      </c>
      <c r="P468" s="210">
        <v>0</v>
      </c>
      <c r="Q468" s="209">
        <f>Q469</f>
        <v>0</v>
      </c>
      <c r="R468" s="209">
        <f>R469</f>
        <v>0</v>
      </c>
      <c r="S468" s="210">
        <v>0</v>
      </c>
      <c r="T468" s="211">
        <f>T469</f>
        <v>0</v>
      </c>
      <c r="U468" s="211">
        <f>U469</f>
        <v>0</v>
      </c>
      <c r="V468" s="210">
        <v>0</v>
      </c>
      <c r="W468" s="210">
        <v>0</v>
      </c>
      <c r="X468" s="211">
        <f>X469</f>
        <v>0</v>
      </c>
      <c r="Y468" s="118">
        <f>Y469</f>
        <v>0</v>
      </c>
      <c r="Z468" s="210">
        <f>Z469</f>
        <v>0</v>
      </c>
    </row>
    <row r="469" spans="2:26" ht="25.5" hidden="1" x14ac:dyDescent="0.2">
      <c r="B469" s="280" t="s">
        <v>54</v>
      </c>
      <c r="C469" s="305" t="s">
        <v>4</v>
      </c>
      <c r="D469" s="144" t="s">
        <v>135</v>
      </c>
      <c r="E469" s="144" t="s">
        <v>135</v>
      </c>
      <c r="F469" s="144" t="s">
        <v>135</v>
      </c>
      <c r="G469" s="144" t="s">
        <v>27</v>
      </c>
      <c r="H469" s="88" t="s">
        <v>135</v>
      </c>
      <c r="I469" s="307">
        <v>240</v>
      </c>
      <c r="J469" s="264">
        <v>41100</v>
      </c>
      <c r="K469" s="264">
        <v>-41100</v>
      </c>
      <c r="L469" s="264">
        <f>K469+J469</f>
        <v>0</v>
      </c>
      <c r="M469" s="264">
        <f>L469+K469</f>
        <v>-41100</v>
      </c>
      <c r="N469" s="264">
        <f>M469+L469</f>
        <v>-41100</v>
      </c>
      <c r="O469" s="265">
        <v>0</v>
      </c>
      <c r="P469" s="265">
        <v>0</v>
      </c>
      <c r="Q469" s="264">
        <f>P469+O469</f>
        <v>0</v>
      </c>
      <c r="R469" s="264">
        <f>Q469+P469</f>
        <v>0</v>
      </c>
      <c r="S469" s="265">
        <v>0</v>
      </c>
      <c r="T469" s="266">
        <v>0</v>
      </c>
      <c r="U469" s="266">
        <v>0</v>
      </c>
      <c r="V469" s="265">
        <v>0</v>
      </c>
      <c r="W469" s="265">
        <v>0</v>
      </c>
      <c r="X469" s="266">
        <v>0</v>
      </c>
      <c r="Y469" s="288">
        <v>0</v>
      </c>
      <c r="Z469" s="265">
        <v>0</v>
      </c>
    </row>
    <row r="470" spans="2:26" x14ac:dyDescent="0.2">
      <c r="B470" s="267"/>
      <c r="C470" s="317"/>
      <c r="D470" s="318"/>
      <c r="E470" s="318"/>
      <c r="F470" s="318"/>
      <c r="G470" s="318"/>
      <c r="H470" s="319"/>
      <c r="I470" s="242"/>
      <c r="J470" s="310"/>
      <c r="K470" s="311"/>
      <c r="L470" s="311"/>
      <c r="M470" s="311"/>
      <c r="N470" s="311"/>
      <c r="O470" s="312"/>
      <c r="P470" s="312"/>
      <c r="Q470" s="311"/>
      <c r="R470" s="311"/>
      <c r="S470" s="312"/>
      <c r="T470" s="313"/>
      <c r="U470" s="313"/>
      <c r="V470" s="312"/>
      <c r="W470" s="312"/>
      <c r="X470" s="313"/>
      <c r="Y470" s="310"/>
      <c r="Z470" s="312"/>
    </row>
    <row r="471" spans="2:26" ht="31.5" x14ac:dyDescent="0.2">
      <c r="B471" s="198" t="s">
        <v>31</v>
      </c>
      <c r="C471" s="302" t="s">
        <v>5</v>
      </c>
      <c r="D471" s="227" t="s">
        <v>135</v>
      </c>
      <c r="E471" s="227" t="s">
        <v>135</v>
      </c>
      <c r="F471" s="227" t="s">
        <v>135</v>
      </c>
      <c r="G471" s="227" t="s">
        <v>136</v>
      </c>
      <c r="H471" s="228" t="s">
        <v>135</v>
      </c>
      <c r="I471" s="214"/>
      <c r="J471" s="195" t="e">
        <f>J486+J491+#REF!+J472+J496+#REF!</f>
        <v>#REF!</v>
      </c>
      <c r="K471" s="196" t="e">
        <f>K486+K491+#REF!+K472+K496+#REF!</f>
        <v>#REF!</v>
      </c>
      <c r="L471" s="197">
        <f t="shared" ref="L471:M471" si="211">L486+L491+L472+L496+L501+L475</f>
        <v>145688585.63000003</v>
      </c>
      <c r="M471" s="197">
        <f t="shared" si="211"/>
        <v>-9618006.0600000005</v>
      </c>
      <c r="N471" s="197">
        <f>N486+N491+N472+N496+N501+N475+N483</f>
        <v>133643722.40000001</v>
      </c>
      <c r="O471" s="197">
        <f t="shared" ref="O471:Z471" si="212">O486+O491+O472+O496+O501+O475+O483</f>
        <v>145702987.98000002</v>
      </c>
      <c r="P471" s="197">
        <f t="shared" si="212"/>
        <v>-9617753.5299999993</v>
      </c>
      <c r="Q471" s="197">
        <f t="shared" si="212"/>
        <v>-302303.40999999986</v>
      </c>
      <c r="R471" s="197">
        <f t="shared" si="212"/>
        <v>133341418.99000001</v>
      </c>
      <c r="S471" s="197">
        <f t="shared" si="212"/>
        <v>136064234.45000005</v>
      </c>
      <c r="T471" s="197">
        <f t="shared" si="212"/>
        <v>145864112</v>
      </c>
      <c r="U471" s="197">
        <f t="shared" si="212"/>
        <v>-9481962.5800000001</v>
      </c>
      <c r="V471" s="197">
        <f t="shared" si="212"/>
        <v>0</v>
      </c>
      <c r="W471" s="197">
        <f t="shared" si="212"/>
        <v>136064234.45000002</v>
      </c>
      <c r="X471" s="197">
        <f t="shared" si="212"/>
        <v>136361149.42000005</v>
      </c>
      <c r="Y471" s="196">
        <f t="shared" si="212"/>
        <v>0</v>
      </c>
      <c r="Z471" s="197">
        <f t="shared" si="212"/>
        <v>136361149.42000002</v>
      </c>
    </row>
    <row r="472" spans="2:26" ht="63.75" x14ac:dyDescent="0.2">
      <c r="B472" s="212" t="s">
        <v>295</v>
      </c>
      <c r="C472" s="103" t="s">
        <v>5</v>
      </c>
      <c r="D472" s="66" t="s">
        <v>135</v>
      </c>
      <c r="E472" s="66" t="s">
        <v>135</v>
      </c>
      <c r="F472" s="66" t="s">
        <v>135</v>
      </c>
      <c r="G472" s="66" t="s">
        <v>192</v>
      </c>
      <c r="H472" s="67" t="s">
        <v>137</v>
      </c>
      <c r="I472" s="214"/>
      <c r="J472" s="118">
        <f t="shared" ref="J472:Y473" si="213">J473</f>
        <v>141147.63</v>
      </c>
      <c r="K472" s="209">
        <f t="shared" si="213"/>
        <v>0</v>
      </c>
      <c r="L472" s="216">
        <f t="shared" si="213"/>
        <v>1040.97</v>
      </c>
      <c r="M472" s="216">
        <f t="shared" si="213"/>
        <v>2602.4299999999998</v>
      </c>
      <c r="N472" s="216">
        <f t="shared" si="213"/>
        <v>3643.3999999999996</v>
      </c>
      <c r="O472" s="216">
        <f t="shared" si="213"/>
        <v>928.54</v>
      </c>
      <c r="P472" s="216">
        <f t="shared" si="213"/>
        <v>2854.96</v>
      </c>
      <c r="Q472" s="216">
        <f t="shared" si="213"/>
        <v>0</v>
      </c>
      <c r="R472" s="216">
        <f t="shared" si="213"/>
        <v>3643.4</v>
      </c>
      <c r="S472" s="216">
        <f t="shared" si="213"/>
        <v>3783.5</v>
      </c>
      <c r="T472" s="217">
        <f t="shared" si="213"/>
        <v>928.58</v>
      </c>
      <c r="U472" s="217">
        <f t="shared" si="213"/>
        <v>138645.91</v>
      </c>
      <c r="V472" s="216">
        <f t="shared" si="213"/>
        <v>0</v>
      </c>
      <c r="W472" s="216">
        <f t="shared" si="213"/>
        <v>3783.5</v>
      </c>
      <c r="X472" s="217">
        <f t="shared" si="213"/>
        <v>139574.49</v>
      </c>
      <c r="Y472" s="68">
        <f t="shared" si="213"/>
        <v>0</v>
      </c>
      <c r="Z472" s="216">
        <f>Z473</f>
        <v>139574.49</v>
      </c>
    </row>
    <row r="473" spans="2:26" ht="25.5" x14ac:dyDescent="0.2">
      <c r="B473" s="212" t="s">
        <v>52</v>
      </c>
      <c r="C473" s="103" t="s">
        <v>5</v>
      </c>
      <c r="D473" s="66" t="s">
        <v>135</v>
      </c>
      <c r="E473" s="66" t="s">
        <v>135</v>
      </c>
      <c r="F473" s="66" t="s">
        <v>135</v>
      </c>
      <c r="G473" s="66" t="s">
        <v>192</v>
      </c>
      <c r="H473" s="67" t="s">
        <v>137</v>
      </c>
      <c r="I473" s="214" t="s">
        <v>53</v>
      </c>
      <c r="J473" s="118">
        <f t="shared" si="213"/>
        <v>141147.63</v>
      </c>
      <c r="K473" s="209">
        <f t="shared" si="213"/>
        <v>0</v>
      </c>
      <c r="L473" s="216">
        <f t="shared" si="213"/>
        <v>1040.97</v>
      </c>
      <c r="M473" s="216">
        <f t="shared" si="213"/>
        <v>2602.4299999999998</v>
      </c>
      <c r="N473" s="216">
        <f t="shared" si="213"/>
        <v>3643.3999999999996</v>
      </c>
      <c r="O473" s="216">
        <f t="shared" si="213"/>
        <v>928.54</v>
      </c>
      <c r="P473" s="216">
        <f t="shared" si="213"/>
        <v>2854.96</v>
      </c>
      <c r="Q473" s="216">
        <f t="shared" si="213"/>
        <v>0</v>
      </c>
      <c r="R473" s="216">
        <f t="shared" si="213"/>
        <v>3643.4</v>
      </c>
      <c r="S473" s="216">
        <f t="shared" si="213"/>
        <v>3783.5</v>
      </c>
      <c r="T473" s="217">
        <f t="shared" si="213"/>
        <v>928.58</v>
      </c>
      <c r="U473" s="217">
        <f t="shared" si="213"/>
        <v>138645.91</v>
      </c>
      <c r="V473" s="216">
        <f t="shared" si="213"/>
        <v>0</v>
      </c>
      <c r="W473" s="216">
        <f t="shared" si="213"/>
        <v>3783.5</v>
      </c>
      <c r="X473" s="217">
        <f t="shared" si="213"/>
        <v>139574.49</v>
      </c>
      <c r="Y473" s="68">
        <f>Y474</f>
        <v>0</v>
      </c>
      <c r="Z473" s="216">
        <f>Z474</f>
        <v>139574.49</v>
      </c>
    </row>
    <row r="474" spans="2:26" ht="25.5" x14ac:dyDescent="0.2">
      <c r="B474" s="362" t="s">
        <v>54</v>
      </c>
      <c r="C474" s="66" t="s">
        <v>5</v>
      </c>
      <c r="D474" s="66" t="s">
        <v>135</v>
      </c>
      <c r="E474" s="66" t="s">
        <v>135</v>
      </c>
      <c r="F474" s="66" t="s">
        <v>135</v>
      </c>
      <c r="G474" s="66" t="s">
        <v>192</v>
      </c>
      <c r="H474" s="67" t="s">
        <v>137</v>
      </c>
      <c r="I474" s="214" t="s">
        <v>55</v>
      </c>
      <c r="J474" s="118">
        <v>141147.63</v>
      </c>
      <c r="K474" s="209">
        <v>0</v>
      </c>
      <c r="L474" s="216">
        <v>1040.97</v>
      </c>
      <c r="M474" s="216">
        <v>2602.4299999999998</v>
      </c>
      <c r="N474" s="216">
        <f>M474+L474</f>
        <v>3643.3999999999996</v>
      </c>
      <c r="O474" s="68">
        <v>928.54</v>
      </c>
      <c r="P474" s="216">
        <v>2854.96</v>
      </c>
      <c r="Q474" s="216">
        <v>0</v>
      </c>
      <c r="R474" s="216">
        <v>3643.4</v>
      </c>
      <c r="S474" s="216">
        <f>P474+O474</f>
        <v>3783.5</v>
      </c>
      <c r="T474" s="216">
        <v>928.58</v>
      </c>
      <c r="U474" s="216">
        <v>138645.91</v>
      </c>
      <c r="V474" s="216">
        <v>0</v>
      </c>
      <c r="W474" s="216">
        <v>3783.5</v>
      </c>
      <c r="X474" s="216">
        <f>U474+T474</f>
        <v>139574.49</v>
      </c>
      <c r="Y474" s="215">
        <v>0</v>
      </c>
      <c r="Z474" s="216">
        <v>139574.49</v>
      </c>
    </row>
    <row r="475" spans="2:26" ht="25.5" x14ac:dyDescent="0.2">
      <c r="B475" s="371" t="s">
        <v>29</v>
      </c>
      <c r="C475" s="72" t="s">
        <v>5</v>
      </c>
      <c r="D475" s="72" t="s">
        <v>135</v>
      </c>
      <c r="E475" s="72" t="s">
        <v>135</v>
      </c>
      <c r="F475" s="72" t="s">
        <v>135</v>
      </c>
      <c r="G475" s="72" t="s">
        <v>27</v>
      </c>
      <c r="H475" s="67" t="s">
        <v>135</v>
      </c>
      <c r="I475" s="214"/>
      <c r="J475" s="118">
        <f>J476+J478+J486</f>
        <v>58470400</v>
      </c>
      <c r="K475" s="209">
        <f>K476+K478+K486</f>
        <v>0</v>
      </c>
      <c r="L475" s="209">
        <f t="shared" ref="L475:M475" si="214">L476+L478</f>
        <v>141068292.14000002</v>
      </c>
      <c r="M475" s="209">
        <f t="shared" si="214"/>
        <v>-9620608.4900000002</v>
      </c>
      <c r="N475" s="209">
        <f>N476+N478+N480</f>
        <v>129020826.48</v>
      </c>
      <c r="O475" s="209">
        <f t="shared" ref="O475:Y475" si="215">O476+O478+O480</f>
        <v>141068292.14000002</v>
      </c>
      <c r="P475" s="209">
        <f t="shared" si="215"/>
        <v>-9620608.4900000002</v>
      </c>
      <c r="Q475" s="209">
        <f t="shared" si="215"/>
        <v>-333983.40999999986</v>
      </c>
      <c r="R475" s="209">
        <f t="shared" si="215"/>
        <v>128686843.07000001</v>
      </c>
      <c r="S475" s="209">
        <f t="shared" si="215"/>
        <v>131447683.65000004</v>
      </c>
      <c r="T475" s="209">
        <f t="shared" si="215"/>
        <v>141068292.14000002</v>
      </c>
      <c r="U475" s="209">
        <f t="shared" si="215"/>
        <v>-9620608.4900000002</v>
      </c>
      <c r="V475" s="209">
        <f t="shared" si="215"/>
        <v>0</v>
      </c>
      <c r="W475" s="209">
        <f t="shared" si="215"/>
        <v>131447683.65000001</v>
      </c>
      <c r="X475" s="209">
        <f t="shared" si="215"/>
        <v>131447683.65000004</v>
      </c>
      <c r="Y475" s="209">
        <f t="shared" si="215"/>
        <v>0</v>
      </c>
      <c r="Z475" s="210">
        <f>Z476+Z478+Z480</f>
        <v>131447683.65000001</v>
      </c>
    </row>
    <row r="476" spans="2:26" ht="51" x14ac:dyDescent="0.2">
      <c r="B476" s="362" t="s">
        <v>67</v>
      </c>
      <c r="C476" s="72" t="s">
        <v>5</v>
      </c>
      <c r="D476" s="72" t="s">
        <v>135</v>
      </c>
      <c r="E476" s="72" t="s">
        <v>135</v>
      </c>
      <c r="F476" s="72" t="s">
        <v>135</v>
      </c>
      <c r="G476" s="72" t="s">
        <v>27</v>
      </c>
      <c r="H476" s="67" t="s">
        <v>135</v>
      </c>
      <c r="I476" s="214">
        <v>100</v>
      </c>
      <c r="J476" s="118">
        <f t="shared" ref="J476:Z476" si="216">J477</f>
        <v>56196500</v>
      </c>
      <c r="K476" s="209">
        <f t="shared" si="216"/>
        <v>0</v>
      </c>
      <c r="L476" s="216">
        <f t="shared" si="216"/>
        <v>136853539.97000003</v>
      </c>
      <c r="M476" s="216">
        <f t="shared" si="216"/>
        <v>-9620608.4900000002</v>
      </c>
      <c r="N476" s="216">
        <f t="shared" si="216"/>
        <v>124806074.31</v>
      </c>
      <c r="O476" s="216">
        <f t="shared" si="216"/>
        <v>136853539.97000003</v>
      </c>
      <c r="P476" s="216">
        <f t="shared" si="216"/>
        <v>-9620608.4900000002</v>
      </c>
      <c r="Q476" s="216">
        <f t="shared" si="216"/>
        <v>-31680</v>
      </c>
      <c r="R476" s="216">
        <f t="shared" si="216"/>
        <v>124774394.31</v>
      </c>
      <c r="S476" s="216">
        <f t="shared" si="216"/>
        <v>127232931.48000003</v>
      </c>
      <c r="T476" s="216">
        <f t="shared" si="216"/>
        <v>136853539.97000003</v>
      </c>
      <c r="U476" s="216">
        <f t="shared" si="216"/>
        <v>-9620608.4900000002</v>
      </c>
      <c r="V476" s="216">
        <f t="shared" si="216"/>
        <v>0</v>
      </c>
      <c r="W476" s="216">
        <f t="shared" si="216"/>
        <v>127232931.48</v>
      </c>
      <c r="X476" s="216">
        <f t="shared" si="216"/>
        <v>127232931.48000003</v>
      </c>
      <c r="Y476" s="215">
        <f t="shared" si="216"/>
        <v>0</v>
      </c>
      <c r="Z476" s="216">
        <f t="shared" si="216"/>
        <v>127232931.48</v>
      </c>
    </row>
    <row r="477" spans="2:26" ht="25.5" x14ac:dyDescent="0.2">
      <c r="B477" s="362" t="s">
        <v>61</v>
      </c>
      <c r="C477" s="72" t="s">
        <v>5</v>
      </c>
      <c r="D477" s="72" t="s">
        <v>135</v>
      </c>
      <c r="E477" s="72" t="s">
        <v>135</v>
      </c>
      <c r="F477" s="72" t="s">
        <v>135</v>
      </c>
      <c r="G477" s="72" t="s">
        <v>27</v>
      </c>
      <c r="H477" s="67" t="s">
        <v>135</v>
      </c>
      <c r="I477" s="214">
        <v>120</v>
      </c>
      <c r="J477" s="118">
        <f>38788800+17407700</f>
        <v>56196500</v>
      </c>
      <c r="K477" s="209">
        <v>0</v>
      </c>
      <c r="L477" s="210">
        <f>69781280.98+430000+21073946.85+17152334.84+28415977.3</f>
        <v>136853539.97000003</v>
      </c>
      <c r="M477" s="210">
        <v>-9620608.4900000002</v>
      </c>
      <c r="N477" s="210">
        <v>124806074.31</v>
      </c>
      <c r="O477" s="210">
        <f>69781280.98+430000+21073946.85+17152334.84+28415977.3</f>
        <v>136853539.97000003</v>
      </c>
      <c r="P477" s="210">
        <v>-9620608.4900000002</v>
      </c>
      <c r="Q477" s="210">
        <f>-31680-100000+100000</f>
        <v>-31680</v>
      </c>
      <c r="R477" s="210">
        <f>Q477+N477</f>
        <v>124774394.31</v>
      </c>
      <c r="S477" s="210">
        <f>P477+O477</f>
        <v>127232931.48000003</v>
      </c>
      <c r="T477" s="210">
        <f>69781280.98+430000+21073946.85+17152334.84+28415977.3</f>
        <v>136853539.97000003</v>
      </c>
      <c r="U477" s="210">
        <v>-9620608.4900000002</v>
      </c>
      <c r="V477" s="210">
        <v>0</v>
      </c>
      <c r="W477" s="210">
        <v>127232931.48</v>
      </c>
      <c r="X477" s="210">
        <f>U477+T477</f>
        <v>127232931.48000003</v>
      </c>
      <c r="Y477" s="209">
        <v>0</v>
      </c>
      <c r="Z477" s="210">
        <f>W477+V477</f>
        <v>127232931.48</v>
      </c>
    </row>
    <row r="478" spans="2:26" ht="25.5" x14ac:dyDescent="0.2">
      <c r="B478" s="362" t="s">
        <v>52</v>
      </c>
      <c r="C478" s="72" t="s">
        <v>5</v>
      </c>
      <c r="D478" s="72" t="s">
        <v>135</v>
      </c>
      <c r="E478" s="72" t="s">
        <v>135</v>
      </c>
      <c r="F478" s="72" t="s">
        <v>135</v>
      </c>
      <c r="G478" s="72" t="s">
        <v>27</v>
      </c>
      <c r="H478" s="67" t="s">
        <v>135</v>
      </c>
      <c r="I478" s="214">
        <v>200</v>
      </c>
      <c r="J478" s="118">
        <f t="shared" ref="J478:Z478" si="217">J479</f>
        <v>2245900</v>
      </c>
      <c r="K478" s="209">
        <f t="shared" si="217"/>
        <v>0</v>
      </c>
      <c r="L478" s="210">
        <f t="shared" si="217"/>
        <v>4214752.17</v>
      </c>
      <c r="M478" s="210">
        <f t="shared" si="217"/>
        <v>0</v>
      </c>
      <c r="N478" s="210">
        <f t="shared" si="217"/>
        <v>4214752.17</v>
      </c>
      <c r="O478" s="210">
        <f t="shared" si="217"/>
        <v>4214752.17</v>
      </c>
      <c r="P478" s="210">
        <f t="shared" si="217"/>
        <v>0</v>
      </c>
      <c r="Q478" s="210">
        <f t="shared" si="217"/>
        <v>-629991.49999999988</v>
      </c>
      <c r="R478" s="210">
        <f t="shared" si="217"/>
        <v>3584760.67</v>
      </c>
      <c r="S478" s="210">
        <f t="shared" si="217"/>
        <v>4214752.17</v>
      </c>
      <c r="T478" s="210">
        <f t="shared" si="217"/>
        <v>4214752.17</v>
      </c>
      <c r="U478" s="210">
        <f t="shared" si="217"/>
        <v>0</v>
      </c>
      <c r="V478" s="210">
        <f t="shared" si="217"/>
        <v>0</v>
      </c>
      <c r="W478" s="210">
        <f t="shared" si="217"/>
        <v>4214752.17</v>
      </c>
      <c r="X478" s="210">
        <f t="shared" si="217"/>
        <v>4214752.17</v>
      </c>
      <c r="Y478" s="209">
        <f t="shared" si="217"/>
        <v>0</v>
      </c>
      <c r="Z478" s="210">
        <f t="shared" si="217"/>
        <v>4214752.17</v>
      </c>
    </row>
    <row r="479" spans="2:26" ht="25.5" x14ac:dyDescent="0.2">
      <c r="B479" s="362" t="s">
        <v>54</v>
      </c>
      <c r="C479" s="72" t="s">
        <v>5</v>
      </c>
      <c r="D479" s="72" t="s">
        <v>135</v>
      </c>
      <c r="E479" s="72" t="s">
        <v>135</v>
      </c>
      <c r="F479" s="72" t="s">
        <v>135</v>
      </c>
      <c r="G479" s="72" t="s">
        <v>27</v>
      </c>
      <c r="H479" s="67" t="s">
        <v>135</v>
      </c>
      <c r="I479" s="214">
        <v>240</v>
      </c>
      <c r="J479" s="118">
        <f>1753900+7000+485000</f>
        <v>2245900</v>
      </c>
      <c r="K479" s="209">
        <v>0</v>
      </c>
      <c r="L479" s="210">
        <f>3230502.17+499250+485000</f>
        <v>4214752.17</v>
      </c>
      <c r="M479" s="210">
        <v>0</v>
      </c>
      <c r="N479" s="210">
        <f>3230502.17+499250+485000</f>
        <v>4214752.17</v>
      </c>
      <c r="O479" s="210">
        <f>3230502.17+499250+485000</f>
        <v>4214752.17</v>
      </c>
      <c r="P479" s="210">
        <v>0</v>
      </c>
      <c r="Q479" s="210">
        <f>-60000-3000-1788-15000-105000-7842.18-112903.23-31000-1770-270000-21688.09</f>
        <v>-629991.49999999988</v>
      </c>
      <c r="R479" s="210">
        <f>Q479+N479</f>
        <v>3584760.67</v>
      </c>
      <c r="S479" s="210">
        <f>3230502.17+499250+485000</f>
        <v>4214752.17</v>
      </c>
      <c r="T479" s="210">
        <f>3230502.17+499250+485000</f>
        <v>4214752.17</v>
      </c>
      <c r="U479" s="210">
        <v>0</v>
      </c>
      <c r="V479" s="210">
        <v>0</v>
      </c>
      <c r="W479" s="210">
        <f>3230502.17+499250+485000</f>
        <v>4214752.17</v>
      </c>
      <c r="X479" s="210">
        <f>3230502.17+499250+485000</f>
        <v>4214752.17</v>
      </c>
      <c r="Y479" s="209">
        <v>0</v>
      </c>
      <c r="Z479" s="210">
        <f>3230502.17+499250+485000</f>
        <v>4214752.17</v>
      </c>
    </row>
    <row r="480" spans="2:26" x14ac:dyDescent="0.2">
      <c r="B480" s="362" t="s">
        <v>62</v>
      </c>
      <c r="C480" s="72" t="s">
        <v>5</v>
      </c>
      <c r="D480" s="72" t="s">
        <v>135</v>
      </c>
      <c r="E480" s="72" t="s">
        <v>135</v>
      </c>
      <c r="F480" s="72" t="s">
        <v>135</v>
      </c>
      <c r="G480" s="72" t="s">
        <v>27</v>
      </c>
      <c r="H480" s="67" t="s">
        <v>135</v>
      </c>
      <c r="I480" s="214" t="s">
        <v>63</v>
      </c>
      <c r="J480" s="118"/>
      <c r="K480" s="209"/>
      <c r="L480" s="209"/>
      <c r="M480" s="209"/>
      <c r="N480" s="209">
        <f>N482+N481</f>
        <v>0</v>
      </c>
      <c r="O480" s="209">
        <f t="shared" ref="O480:Z480" si="218">O482+O481</f>
        <v>0</v>
      </c>
      <c r="P480" s="209">
        <f t="shared" si="218"/>
        <v>0</v>
      </c>
      <c r="Q480" s="209">
        <f t="shared" si="218"/>
        <v>327688.09000000003</v>
      </c>
      <c r="R480" s="209">
        <f t="shared" si="218"/>
        <v>327688.09000000003</v>
      </c>
      <c r="S480" s="209">
        <f t="shared" si="218"/>
        <v>0</v>
      </c>
      <c r="T480" s="209">
        <f t="shared" si="218"/>
        <v>0</v>
      </c>
      <c r="U480" s="209">
        <f t="shared" si="218"/>
        <v>0</v>
      </c>
      <c r="V480" s="209">
        <f t="shared" si="218"/>
        <v>0</v>
      </c>
      <c r="W480" s="209">
        <f t="shared" si="218"/>
        <v>0</v>
      </c>
      <c r="X480" s="209">
        <f t="shared" si="218"/>
        <v>0</v>
      </c>
      <c r="Y480" s="209">
        <f t="shared" si="218"/>
        <v>0</v>
      </c>
      <c r="Z480" s="210">
        <f t="shared" si="218"/>
        <v>0</v>
      </c>
    </row>
    <row r="481" spans="2:27" x14ac:dyDescent="0.2">
      <c r="B481" s="362" t="s">
        <v>174</v>
      </c>
      <c r="C481" s="72" t="s">
        <v>5</v>
      </c>
      <c r="D481" s="72" t="s">
        <v>135</v>
      </c>
      <c r="E481" s="72" t="s">
        <v>135</v>
      </c>
      <c r="F481" s="72" t="s">
        <v>135</v>
      </c>
      <c r="G481" s="72" t="s">
        <v>27</v>
      </c>
      <c r="H481" s="67" t="s">
        <v>135</v>
      </c>
      <c r="I481" s="214" t="s">
        <v>173</v>
      </c>
      <c r="J481" s="118"/>
      <c r="K481" s="209"/>
      <c r="L481" s="209"/>
      <c r="M481" s="209"/>
      <c r="N481" s="209">
        <v>0</v>
      </c>
      <c r="O481" s="210"/>
      <c r="P481" s="210"/>
      <c r="Q481" s="209">
        <v>21688.09</v>
      </c>
      <c r="R481" s="209">
        <f>Q481</f>
        <v>21688.09</v>
      </c>
      <c r="S481" s="210">
        <v>0</v>
      </c>
      <c r="T481" s="211"/>
      <c r="U481" s="211"/>
      <c r="V481" s="210">
        <v>0</v>
      </c>
      <c r="W481" s="210">
        <v>0</v>
      </c>
      <c r="X481" s="210">
        <v>0</v>
      </c>
      <c r="Y481" s="209">
        <v>0</v>
      </c>
      <c r="Z481" s="210">
        <v>0</v>
      </c>
      <c r="AA481" s="169">
        <v>0</v>
      </c>
    </row>
    <row r="482" spans="2:27" x14ac:dyDescent="0.2">
      <c r="B482" s="362" t="s">
        <v>64</v>
      </c>
      <c r="C482" s="72" t="s">
        <v>5</v>
      </c>
      <c r="D482" s="72" t="s">
        <v>135</v>
      </c>
      <c r="E482" s="72" t="s">
        <v>135</v>
      </c>
      <c r="F482" s="72" t="s">
        <v>135</v>
      </c>
      <c r="G482" s="72" t="s">
        <v>27</v>
      </c>
      <c r="H482" s="67" t="s">
        <v>135</v>
      </c>
      <c r="I482" s="214" t="s">
        <v>65</v>
      </c>
      <c r="J482" s="118"/>
      <c r="K482" s="209"/>
      <c r="L482" s="209"/>
      <c r="M482" s="209"/>
      <c r="N482" s="209">
        <v>0</v>
      </c>
      <c r="O482" s="210"/>
      <c r="P482" s="210"/>
      <c r="Q482" s="209">
        <f>90000+15000+31000+170000</f>
        <v>306000</v>
      </c>
      <c r="R482" s="209">
        <f>Q482</f>
        <v>306000</v>
      </c>
      <c r="S482" s="210">
        <v>0</v>
      </c>
      <c r="T482" s="211"/>
      <c r="U482" s="211"/>
      <c r="V482" s="210">
        <v>0</v>
      </c>
      <c r="W482" s="210">
        <v>0</v>
      </c>
      <c r="X482" s="210">
        <v>0</v>
      </c>
      <c r="Y482" s="209">
        <v>0</v>
      </c>
      <c r="Z482" s="210">
        <v>0</v>
      </c>
    </row>
    <row r="483" spans="2:27" ht="25.5" x14ac:dyDescent="0.2">
      <c r="B483" s="363" t="s">
        <v>204</v>
      </c>
      <c r="C483" s="66" t="s">
        <v>5</v>
      </c>
      <c r="D483" s="66" t="s">
        <v>135</v>
      </c>
      <c r="E483" s="66" t="s">
        <v>135</v>
      </c>
      <c r="F483" s="66" t="s">
        <v>135</v>
      </c>
      <c r="G483" s="66" t="s">
        <v>203</v>
      </c>
      <c r="H483" s="67" t="s">
        <v>135</v>
      </c>
      <c r="I483" s="309"/>
      <c r="J483" s="68">
        <f t="shared" ref="J483:Z484" si="219">J484</f>
        <v>180000</v>
      </c>
      <c r="K483" s="69">
        <f t="shared" si="219"/>
        <v>0</v>
      </c>
      <c r="L483" s="216">
        <f t="shared" si="219"/>
        <v>0</v>
      </c>
      <c r="M483" s="216">
        <f t="shared" si="219"/>
        <v>0</v>
      </c>
      <c r="N483" s="216">
        <f>N484</f>
        <v>0</v>
      </c>
      <c r="O483" s="216">
        <f t="shared" ref="O483:Y483" si="220">O484+O486</f>
        <v>21000</v>
      </c>
      <c r="P483" s="216">
        <f t="shared" si="220"/>
        <v>0</v>
      </c>
      <c r="Q483" s="216">
        <f t="shared" si="220"/>
        <v>31680</v>
      </c>
      <c r="R483" s="216">
        <f>R484</f>
        <v>31680</v>
      </c>
      <c r="S483" s="216">
        <f>S484</f>
        <v>0</v>
      </c>
      <c r="T483" s="216">
        <f t="shared" si="220"/>
        <v>21000</v>
      </c>
      <c r="U483" s="216">
        <f t="shared" si="220"/>
        <v>0</v>
      </c>
      <c r="V483" s="216">
        <f t="shared" si="220"/>
        <v>0</v>
      </c>
      <c r="W483" s="216">
        <f>W484</f>
        <v>0</v>
      </c>
      <c r="X483" s="216">
        <f>X484</f>
        <v>0</v>
      </c>
      <c r="Y483" s="215">
        <f t="shared" si="220"/>
        <v>0</v>
      </c>
      <c r="Z483" s="216">
        <f>Z484</f>
        <v>0</v>
      </c>
    </row>
    <row r="484" spans="2:27" ht="51" x14ac:dyDescent="0.2">
      <c r="B484" s="362" t="s">
        <v>67</v>
      </c>
      <c r="C484" s="66" t="s">
        <v>5</v>
      </c>
      <c r="D484" s="66" t="s">
        <v>135</v>
      </c>
      <c r="E484" s="66" t="s">
        <v>135</v>
      </c>
      <c r="F484" s="66" t="s">
        <v>135</v>
      </c>
      <c r="G484" s="66" t="s">
        <v>203</v>
      </c>
      <c r="H484" s="67" t="s">
        <v>135</v>
      </c>
      <c r="I484" s="309" t="s">
        <v>60</v>
      </c>
      <c r="J484" s="68">
        <f t="shared" si="219"/>
        <v>180000</v>
      </c>
      <c r="K484" s="69">
        <f t="shared" si="219"/>
        <v>0</v>
      </c>
      <c r="L484" s="216">
        <f t="shared" si="219"/>
        <v>0</v>
      </c>
      <c r="M484" s="216">
        <f t="shared" si="219"/>
        <v>0</v>
      </c>
      <c r="N484" s="216">
        <f t="shared" si="219"/>
        <v>0</v>
      </c>
      <c r="O484" s="216">
        <f t="shared" si="219"/>
        <v>0</v>
      </c>
      <c r="P484" s="216">
        <f t="shared" si="219"/>
        <v>0</v>
      </c>
      <c r="Q484" s="216">
        <f t="shared" si="219"/>
        <v>31680</v>
      </c>
      <c r="R484" s="216">
        <f t="shared" si="219"/>
        <v>31680</v>
      </c>
      <c r="S484" s="216">
        <f t="shared" si="219"/>
        <v>0</v>
      </c>
      <c r="T484" s="216">
        <f t="shared" si="219"/>
        <v>0</v>
      </c>
      <c r="U484" s="216">
        <f t="shared" si="219"/>
        <v>0</v>
      </c>
      <c r="V484" s="216">
        <f t="shared" si="219"/>
        <v>0</v>
      </c>
      <c r="W484" s="216">
        <f t="shared" si="219"/>
        <v>0</v>
      </c>
      <c r="X484" s="216">
        <f t="shared" si="219"/>
        <v>0</v>
      </c>
      <c r="Y484" s="215">
        <f t="shared" si="219"/>
        <v>0</v>
      </c>
      <c r="Z484" s="216">
        <f t="shared" si="219"/>
        <v>0</v>
      </c>
    </row>
    <row r="485" spans="2:27" ht="25.5" x14ac:dyDescent="0.2">
      <c r="B485" s="362" t="s">
        <v>61</v>
      </c>
      <c r="C485" s="66" t="s">
        <v>5</v>
      </c>
      <c r="D485" s="66" t="s">
        <v>135</v>
      </c>
      <c r="E485" s="66" t="s">
        <v>135</v>
      </c>
      <c r="F485" s="66" t="s">
        <v>135</v>
      </c>
      <c r="G485" s="66" t="s">
        <v>203</v>
      </c>
      <c r="H485" s="67" t="s">
        <v>135</v>
      </c>
      <c r="I485" s="309" t="s">
        <v>171</v>
      </c>
      <c r="J485" s="68">
        <v>180000</v>
      </c>
      <c r="K485" s="69">
        <v>0</v>
      </c>
      <c r="L485" s="216">
        <v>0</v>
      </c>
      <c r="M485" s="216">
        <v>0</v>
      </c>
      <c r="N485" s="216">
        <v>0</v>
      </c>
      <c r="O485" s="216">
        <v>0</v>
      </c>
      <c r="P485" s="216">
        <v>0</v>
      </c>
      <c r="Q485" s="216">
        <v>31680</v>
      </c>
      <c r="R485" s="216">
        <f>Q485</f>
        <v>31680</v>
      </c>
      <c r="S485" s="216">
        <v>0</v>
      </c>
      <c r="T485" s="216">
        <v>0</v>
      </c>
      <c r="U485" s="216">
        <v>0</v>
      </c>
      <c r="V485" s="216">
        <v>0</v>
      </c>
      <c r="W485" s="216">
        <v>0</v>
      </c>
      <c r="X485" s="216">
        <v>0</v>
      </c>
      <c r="Y485" s="215">
        <v>0</v>
      </c>
      <c r="Z485" s="216">
        <v>0</v>
      </c>
    </row>
    <row r="486" spans="2:27" ht="76.5" x14ac:dyDescent="0.2">
      <c r="B486" s="362" t="s">
        <v>306</v>
      </c>
      <c r="C486" s="72" t="s">
        <v>5</v>
      </c>
      <c r="D486" s="72" t="s">
        <v>135</v>
      </c>
      <c r="E486" s="72" t="s">
        <v>135</v>
      </c>
      <c r="F486" s="72" t="s">
        <v>135</v>
      </c>
      <c r="G486" s="72" t="s">
        <v>307</v>
      </c>
      <c r="H486" s="67" t="s">
        <v>135</v>
      </c>
      <c r="I486" s="214"/>
      <c r="J486" s="118">
        <f t="shared" ref="J486:X486" si="221">J487+J489</f>
        <v>28000</v>
      </c>
      <c r="K486" s="209">
        <f t="shared" si="221"/>
        <v>0</v>
      </c>
      <c r="L486" s="209">
        <f t="shared" si="221"/>
        <v>21000</v>
      </c>
      <c r="M486" s="209">
        <f t="shared" si="221"/>
        <v>0</v>
      </c>
      <c r="N486" s="209">
        <f t="shared" si="221"/>
        <v>21000</v>
      </c>
      <c r="O486" s="210">
        <f t="shared" si="221"/>
        <v>21000</v>
      </c>
      <c r="P486" s="210">
        <f t="shared" si="221"/>
        <v>0</v>
      </c>
      <c r="Q486" s="209">
        <f>Q487+Q489</f>
        <v>0</v>
      </c>
      <c r="R486" s="209">
        <f>R487+R489</f>
        <v>21000</v>
      </c>
      <c r="S486" s="210">
        <f t="shared" si="221"/>
        <v>21000</v>
      </c>
      <c r="T486" s="211">
        <f t="shared" si="221"/>
        <v>21000</v>
      </c>
      <c r="U486" s="211">
        <f t="shared" si="221"/>
        <v>0</v>
      </c>
      <c r="V486" s="210">
        <f>V487+V489</f>
        <v>0</v>
      </c>
      <c r="W486" s="210">
        <f>W487+W489</f>
        <v>21000</v>
      </c>
      <c r="X486" s="211">
        <f t="shared" si="221"/>
        <v>21000</v>
      </c>
      <c r="Y486" s="118">
        <f>Y487+Y489</f>
        <v>0</v>
      </c>
      <c r="Z486" s="210">
        <f>Z487+Z489</f>
        <v>21000</v>
      </c>
    </row>
    <row r="487" spans="2:27" ht="51" x14ac:dyDescent="0.2">
      <c r="B487" s="362" t="s">
        <v>67</v>
      </c>
      <c r="C487" s="72" t="s">
        <v>5</v>
      </c>
      <c r="D487" s="72" t="s">
        <v>135</v>
      </c>
      <c r="E487" s="72" t="s">
        <v>135</v>
      </c>
      <c r="F487" s="72" t="s">
        <v>135</v>
      </c>
      <c r="G487" s="72" t="s">
        <v>307</v>
      </c>
      <c r="H487" s="67" t="s">
        <v>135</v>
      </c>
      <c r="I487" s="214">
        <v>100</v>
      </c>
      <c r="J487" s="118">
        <f t="shared" ref="J487:Z487" si="222">J488</f>
        <v>4400</v>
      </c>
      <c r="K487" s="209">
        <f t="shared" si="222"/>
        <v>0</v>
      </c>
      <c r="L487" s="216">
        <f t="shared" si="222"/>
        <v>8400</v>
      </c>
      <c r="M487" s="216">
        <f t="shared" si="222"/>
        <v>0</v>
      </c>
      <c r="N487" s="216">
        <f t="shared" si="222"/>
        <v>8400</v>
      </c>
      <c r="O487" s="216">
        <f t="shared" si="222"/>
        <v>8400</v>
      </c>
      <c r="P487" s="216">
        <f t="shared" si="222"/>
        <v>0</v>
      </c>
      <c r="Q487" s="216">
        <f t="shared" si="222"/>
        <v>0</v>
      </c>
      <c r="R487" s="216">
        <f t="shared" si="222"/>
        <v>8400</v>
      </c>
      <c r="S487" s="216">
        <f t="shared" si="222"/>
        <v>8400</v>
      </c>
      <c r="T487" s="216">
        <f t="shared" si="222"/>
        <v>8400</v>
      </c>
      <c r="U487" s="216">
        <f t="shared" si="222"/>
        <v>0</v>
      </c>
      <c r="V487" s="216">
        <f t="shared" si="222"/>
        <v>0</v>
      </c>
      <c r="W487" s="216">
        <f t="shared" si="222"/>
        <v>8400</v>
      </c>
      <c r="X487" s="216">
        <f t="shared" si="222"/>
        <v>8400</v>
      </c>
      <c r="Y487" s="215">
        <f t="shared" si="222"/>
        <v>0</v>
      </c>
      <c r="Z487" s="216">
        <f t="shared" si="222"/>
        <v>8400</v>
      </c>
    </row>
    <row r="488" spans="2:27" ht="25.5" x14ac:dyDescent="0.2">
      <c r="B488" s="212" t="s">
        <v>61</v>
      </c>
      <c r="C488" s="117" t="s">
        <v>5</v>
      </c>
      <c r="D488" s="72" t="s">
        <v>135</v>
      </c>
      <c r="E488" s="72" t="s">
        <v>135</v>
      </c>
      <c r="F488" s="72" t="s">
        <v>135</v>
      </c>
      <c r="G488" s="72" t="s">
        <v>307</v>
      </c>
      <c r="H488" s="67" t="s">
        <v>135</v>
      </c>
      <c r="I488" s="214">
        <v>120</v>
      </c>
      <c r="J488" s="118">
        <v>4400</v>
      </c>
      <c r="K488" s="209">
        <v>0</v>
      </c>
      <c r="L488" s="216">
        <v>8400</v>
      </c>
      <c r="M488" s="216">
        <v>0</v>
      </c>
      <c r="N488" s="216">
        <v>8400</v>
      </c>
      <c r="O488" s="216">
        <v>8400</v>
      </c>
      <c r="P488" s="216">
        <v>0</v>
      </c>
      <c r="Q488" s="216">
        <v>0</v>
      </c>
      <c r="R488" s="216">
        <v>8400</v>
      </c>
      <c r="S488" s="216">
        <v>8400</v>
      </c>
      <c r="T488" s="216">
        <v>8400</v>
      </c>
      <c r="U488" s="216">
        <v>0</v>
      </c>
      <c r="V488" s="216">
        <v>0</v>
      </c>
      <c r="W488" s="216">
        <v>8400</v>
      </c>
      <c r="X488" s="216">
        <v>8400</v>
      </c>
      <c r="Y488" s="215">
        <v>0</v>
      </c>
      <c r="Z488" s="216">
        <v>8400</v>
      </c>
    </row>
    <row r="489" spans="2:27" ht="25.5" x14ac:dyDescent="0.2">
      <c r="B489" s="212" t="s">
        <v>52</v>
      </c>
      <c r="C489" s="117" t="s">
        <v>5</v>
      </c>
      <c r="D489" s="72" t="s">
        <v>135</v>
      </c>
      <c r="E489" s="72" t="s">
        <v>135</v>
      </c>
      <c r="F489" s="72" t="s">
        <v>135</v>
      </c>
      <c r="G489" s="72" t="s">
        <v>307</v>
      </c>
      <c r="H489" s="67" t="s">
        <v>135</v>
      </c>
      <c r="I489" s="214">
        <v>200</v>
      </c>
      <c r="J489" s="118">
        <f t="shared" ref="J489:Z489" si="223">J490</f>
        <v>23600</v>
      </c>
      <c r="K489" s="209">
        <f t="shared" si="223"/>
        <v>0</v>
      </c>
      <c r="L489" s="216">
        <f t="shared" si="223"/>
        <v>12600</v>
      </c>
      <c r="M489" s="216">
        <f t="shared" si="223"/>
        <v>0</v>
      </c>
      <c r="N489" s="216">
        <f t="shared" si="223"/>
        <v>12600</v>
      </c>
      <c r="O489" s="216">
        <f t="shared" si="223"/>
        <v>12600</v>
      </c>
      <c r="P489" s="216">
        <f t="shared" si="223"/>
        <v>0</v>
      </c>
      <c r="Q489" s="216">
        <f t="shared" si="223"/>
        <v>0</v>
      </c>
      <c r="R489" s="216">
        <f t="shared" si="223"/>
        <v>12600</v>
      </c>
      <c r="S489" s="216">
        <f t="shared" si="223"/>
        <v>12600</v>
      </c>
      <c r="T489" s="216">
        <f t="shared" si="223"/>
        <v>12600</v>
      </c>
      <c r="U489" s="216">
        <f t="shared" si="223"/>
        <v>0</v>
      </c>
      <c r="V489" s="216">
        <f t="shared" si="223"/>
        <v>0</v>
      </c>
      <c r="W489" s="216">
        <f t="shared" si="223"/>
        <v>12600</v>
      </c>
      <c r="X489" s="216">
        <f t="shared" si="223"/>
        <v>12600</v>
      </c>
      <c r="Y489" s="215">
        <f t="shared" si="223"/>
        <v>0</v>
      </c>
      <c r="Z489" s="216">
        <f t="shared" si="223"/>
        <v>12600</v>
      </c>
    </row>
    <row r="490" spans="2:27" ht="25.5" x14ac:dyDescent="0.2">
      <c r="B490" s="212" t="s">
        <v>54</v>
      </c>
      <c r="C490" s="117" t="s">
        <v>5</v>
      </c>
      <c r="D490" s="72" t="s">
        <v>135</v>
      </c>
      <c r="E490" s="72" t="s">
        <v>135</v>
      </c>
      <c r="F490" s="72" t="s">
        <v>135</v>
      </c>
      <c r="G490" s="72" t="s">
        <v>307</v>
      </c>
      <c r="H490" s="67" t="s">
        <v>135</v>
      </c>
      <c r="I490" s="214">
        <v>240</v>
      </c>
      <c r="J490" s="118">
        <v>23600</v>
      </c>
      <c r="K490" s="209">
        <v>0</v>
      </c>
      <c r="L490" s="216">
        <v>12600</v>
      </c>
      <c r="M490" s="216">
        <v>0</v>
      </c>
      <c r="N490" s="216">
        <v>12600</v>
      </c>
      <c r="O490" s="216">
        <v>12600</v>
      </c>
      <c r="P490" s="216">
        <v>0</v>
      </c>
      <c r="Q490" s="216">
        <v>0</v>
      </c>
      <c r="R490" s="216">
        <v>12600</v>
      </c>
      <c r="S490" s="216">
        <v>12600</v>
      </c>
      <c r="T490" s="216">
        <v>12600</v>
      </c>
      <c r="U490" s="216">
        <v>0</v>
      </c>
      <c r="V490" s="216">
        <v>0</v>
      </c>
      <c r="W490" s="216">
        <v>12600</v>
      </c>
      <c r="X490" s="216">
        <v>12600</v>
      </c>
      <c r="Y490" s="215">
        <v>0</v>
      </c>
      <c r="Z490" s="216">
        <v>12600</v>
      </c>
    </row>
    <row r="491" spans="2:27" ht="38.25" x14ac:dyDescent="0.2">
      <c r="B491" s="212" t="s">
        <v>289</v>
      </c>
      <c r="C491" s="117" t="s">
        <v>5</v>
      </c>
      <c r="D491" s="72" t="s">
        <v>135</v>
      </c>
      <c r="E491" s="72" t="s">
        <v>135</v>
      </c>
      <c r="F491" s="72" t="s">
        <v>135</v>
      </c>
      <c r="G491" s="72" t="s">
        <v>288</v>
      </c>
      <c r="H491" s="67" t="s">
        <v>135</v>
      </c>
      <c r="I491" s="214"/>
      <c r="J491" s="118">
        <f t="shared" ref="J491:X491" si="224">J492+J494</f>
        <v>464749</v>
      </c>
      <c r="K491" s="209">
        <f t="shared" si="224"/>
        <v>0</v>
      </c>
      <c r="L491" s="215">
        <f t="shared" si="224"/>
        <v>570678.98</v>
      </c>
      <c r="M491" s="215">
        <f t="shared" si="224"/>
        <v>0</v>
      </c>
      <c r="N491" s="215">
        <f t="shared" si="224"/>
        <v>570678.98</v>
      </c>
      <c r="O491" s="216">
        <f t="shared" si="224"/>
        <v>575935.77</v>
      </c>
      <c r="P491" s="216">
        <f t="shared" si="224"/>
        <v>0</v>
      </c>
      <c r="Q491" s="215">
        <f>Q492+Q494</f>
        <v>0</v>
      </c>
      <c r="R491" s="215">
        <f>R492+R494</f>
        <v>570678.98</v>
      </c>
      <c r="S491" s="216">
        <f t="shared" si="224"/>
        <v>575935.77</v>
      </c>
      <c r="T491" s="217">
        <f t="shared" si="224"/>
        <v>597173.19999999995</v>
      </c>
      <c r="U491" s="217">
        <f t="shared" si="224"/>
        <v>0</v>
      </c>
      <c r="V491" s="216">
        <f>V492+V494</f>
        <v>0</v>
      </c>
      <c r="W491" s="216">
        <f>W492+W494</f>
        <v>575935.77</v>
      </c>
      <c r="X491" s="217">
        <f t="shared" si="224"/>
        <v>597173.19999999995</v>
      </c>
      <c r="Y491" s="68">
        <f>Y492+Y494</f>
        <v>0</v>
      </c>
      <c r="Z491" s="216">
        <f>Z492+Z494</f>
        <v>597173.19999999995</v>
      </c>
    </row>
    <row r="492" spans="2:27" ht="51" x14ac:dyDescent="0.2">
      <c r="B492" s="212" t="s">
        <v>67</v>
      </c>
      <c r="C492" s="117" t="s">
        <v>5</v>
      </c>
      <c r="D492" s="72" t="s">
        <v>135</v>
      </c>
      <c r="E492" s="72" t="s">
        <v>135</v>
      </c>
      <c r="F492" s="72" t="s">
        <v>135</v>
      </c>
      <c r="G492" s="72" t="s">
        <v>288</v>
      </c>
      <c r="H492" s="67" t="s">
        <v>135</v>
      </c>
      <c r="I492" s="214">
        <v>100</v>
      </c>
      <c r="J492" s="118">
        <f t="shared" ref="J492:Z492" si="225">J493</f>
        <v>402400</v>
      </c>
      <c r="K492" s="209">
        <f t="shared" si="225"/>
        <v>0</v>
      </c>
      <c r="L492" s="216">
        <f t="shared" si="225"/>
        <v>506219.2</v>
      </c>
      <c r="M492" s="216">
        <f t="shared" si="225"/>
        <v>0</v>
      </c>
      <c r="N492" s="216">
        <f t="shared" si="225"/>
        <v>506219.2</v>
      </c>
      <c r="O492" s="216">
        <f t="shared" si="225"/>
        <v>511427.2</v>
      </c>
      <c r="P492" s="216">
        <f t="shared" si="225"/>
        <v>0</v>
      </c>
      <c r="Q492" s="216">
        <f t="shared" si="225"/>
        <v>0</v>
      </c>
      <c r="R492" s="216">
        <f t="shared" si="225"/>
        <v>506219.2</v>
      </c>
      <c r="S492" s="216">
        <f t="shared" si="225"/>
        <v>511427.2</v>
      </c>
      <c r="T492" s="216">
        <f t="shared" si="225"/>
        <v>532519.6</v>
      </c>
      <c r="U492" s="216">
        <f t="shared" si="225"/>
        <v>0</v>
      </c>
      <c r="V492" s="216">
        <f t="shared" si="225"/>
        <v>0</v>
      </c>
      <c r="W492" s="216">
        <f t="shared" si="225"/>
        <v>511427.2</v>
      </c>
      <c r="X492" s="216">
        <f t="shared" si="225"/>
        <v>532519.6</v>
      </c>
      <c r="Y492" s="215">
        <f t="shared" si="225"/>
        <v>0</v>
      </c>
      <c r="Z492" s="216">
        <f t="shared" si="225"/>
        <v>532519.6</v>
      </c>
    </row>
    <row r="493" spans="2:27" ht="25.5" x14ac:dyDescent="0.2">
      <c r="B493" s="212" t="s">
        <v>61</v>
      </c>
      <c r="C493" s="117" t="s">
        <v>5</v>
      </c>
      <c r="D493" s="72" t="s">
        <v>135</v>
      </c>
      <c r="E493" s="72" t="s">
        <v>135</v>
      </c>
      <c r="F493" s="72" t="s">
        <v>135</v>
      </c>
      <c r="G493" s="72" t="s">
        <v>288</v>
      </c>
      <c r="H493" s="67" t="s">
        <v>135</v>
      </c>
      <c r="I493" s="214">
        <v>120</v>
      </c>
      <c r="J493" s="118">
        <v>402400</v>
      </c>
      <c r="K493" s="209">
        <v>0</v>
      </c>
      <c r="L493" s="216">
        <f>371600+23000+111619.2</f>
        <v>506219.2</v>
      </c>
      <c r="M493" s="216">
        <v>0</v>
      </c>
      <c r="N493" s="216">
        <f>371600+23000+111619.2</f>
        <v>506219.2</v>
      </c>
      <c r="O493" s="216">
        <f>375600+23000+112827.2</f>
        <v>511427.2</v>
      </c>
      <c r="P493" s="216">
        <v>0</v>
      </c>
      <c r="Q493" s="216">
        <v>0</v>
      </c>
      <c r="R493" s="216">
        <f>371600+23000+111619.2</f>
        <v>506219.2</v>
      </c>
      <c r="S493" s="216">
        <f>375600+23000+112827.2</f>
        <v>511427.2</v>
      </c>
      <c r="T493" s="216">
        <f>391800+117719.6+23000</f>
        <v>532519.6</v>
      </c>
      <c r="U493" s="216">
        <v>0</v>
      </c>
      <c r="V493" s="216">
        <v>0</v>
      </c>
      <c r="W493" s="216">
        <f>375600+23000+112827.2</f>
        <v>511427.2</v>
      </c>
      <c r="X493" s="216">
        <f>391800+117719.6+23000</f>
        <v>532519.6</v>
      </c>
      <c r="Y493" s="215">
        <v>0</v>
      </c>
      <c r="Z493" s="216">
        <f>391800+117719.6+23000</f>
        <v>532519.6</v>
      </c>
    </row>
    <row r="494" spans="2:27" ht="25.5" x14ac:dyDescent="0.2">
      <c r="B494" s="212" t="s">
        <v>52</v>
      </c>
      <c r="C494" s="117" t="s">
        <v>5</v>
      </c>
      <c r="D494" s="72" t="s">
        <v>135</v>
      </c>
      <c r="E494" s="72" t="s">
        <v>135</v>
      </c>
      <c r="F494" s="72" t="s">
        <v>135</v>
      </c>
      <c r="G494" s="72" t="s">
        <v>288</v>
      </c>
      <c r="H494" s="67" t="s">
        <v>135</v>
      </c>
      <c r="I494" s="214">
        <v>200</v>
      </c>
      <c r="J494" s="118">
        <f t="shared" ref="J494:Z494" si="226">J495</f>
        <v>62349</v>
      </c>
      <c r="K494" s="209">
        <f t="shared" si="226"/>
        <v>0</v>
      </c>
      <c r="L494" s="216">
        <f t="shared" si="226"/>
        <v>64459.78</v>
      </c>
      <c r="M494" s="216">
        <f t="shared" si="226"/>
        <v>0</v>
      </c>
      <c r="N494" s="216">
        <f t="shared" si="226"/>
        <v>64459.78</v>
      </c>
      <c r="O494" s="216">
        <f t="shared" si="226"/>
        <v>64508.57</v>
      </c>
      <c r="P494" s="216">
        <f t="shared" si="226"/>
        <v>0</v>
      </c>
      <c r="Q494" s="216">
        <f t="shared" si="226"/>
        <v>0</v>
      </c>
      <c r="R494" s="216">
        <f t="shared" si="226"/>
        <v>64459.78</v>
      </c>
      <c r="S494" s="216">
        <f t="shared" si="226"/>
        <v>64508.57</v>
      </c>
      <c r="T494" s="216">
        <f t="shared" si="226"/>
        <v>64653.599999999999</v>
      </c>
      <c r="U494" s="216">
        <f t="shared" si="226"/>
        <v>0</v>
      </c>
      <c r="V494" s="216">
        <f t="shared" si="226"/>
        <v>0</v>
      </c>
      <c r="W494" s="216">
        <f t="shared" si="226"/>
        <v>64508.57</v>
      </c>
      <c r="X494" s="216">
        <f t="shared" si="226"/>
        <v>64653.599999999999</v>
      </c>
      <c r="Y494" s="215">
        <f t="shared" si="226"/>
        <v>0</v>
      </c>
      <c r="Z494" s="216">
        <f t="shared" si="226"/>
        <v>64653.599999999999</v>
      </c>
    </row>
    <row r="495" spans="2:27" ht="25.5" x14ac:dyDescent="0.2">
      <c r="B495" s="212" t="s">
        <v>54</v>
      </c>
      <c r="C495" s="117" t="s">
        <v>5</v>
      </c>
      <c r="D495" s="72" t="s">
        <v>135</v>
      </c>
      <c r="E495" s="72" t="s">
        <v>135</v>
      </c>
      <c r="F495" s="72" t="s">
        <v>135</v>
      </c>
      <c r="G495" s="72" t="s">
        <v>288</v>
      </c>
      <c r="H495" s="67" t="s">
        <v>135</v>
      </c>
      <c r="I495" s="214">
        <v>240</v>
      </c>
      <c r="J495" s="118">
        <v>62349</v>
      </c>
      <c r="K495" s="209">
        <v>0</v>
      </c>
      <c r="L495" s="216">
        <v>64459.78</v>
      </c>
      <c r="M495" s="216">
        <v>0</v>
      </c>
      <c r="N495" s="216">
        <v>64459.78</v>
      </c>
      <c r="O495" s="216">
        <v>64508.57</v>
      </c>
      <c r="P495" s="216">
        <v>0</v>
      </c>
      <c r="Q495" s="216">
        <v>0</v>
      </c>
      <c r="R495" s="216">
        <v>64459.78</v>
      </c>
      <c r="S495" s="216">
        <v>64508.57</v>
      </c>
      <c r="T495" s="216">
        <v>64653.599999999999</v>
      </c>
      <c r="U495" s="216">
        <v>0</v>
      </c>
      <c r="V495" s="216">
        <v>0</v>
      </c>
      <c r="W495" s="216">
        <v>64508.57</v>
      </c>
      <c r="X495" s="216">
        <v>64653.599999999999</v>
      </c>
      <c r="Y495" s="215">
        <v>0</v>
      </c>
      <c r="Z495" s="216">
        <v>64653.599999999999</v>
      </c>
    </row>
    <row r="496" spans="2:27" ht="25.5" x14ac:dyDescent="0.2">
      <c r="B496" s="212" t="s">
        <v>24</v>
      </c>
      <c r="C496" s="117" t="s">
        <v>5</v>
      </c>
      <c r="D496" s="72" t="s">
        <v>135</v>
      </c>
      <c r="E496" s="72" t="s">
        <v>135</v>
      </c>
      <c r="F496" s="72" t="s">
        <v>135</v>
      </c>
      <c r="G496" s="72" t="s">
        <v>283</v>
      </c>
      <c r="H496" s="67" t="s">
        <v>137</v>
      </c>
      <c r="I496" s="214"/>
      <c r="J496" s="118">
        <f t="shared" ref="J496:X496" si="227">J497+J499</f>
        <v>1961900</v>
      </c>
      <c r="K496" s="209">
        <f t="shared" si="227"/>
        <v>0</v>
      </c>
      <c r="L496" s="215">
        <f t="shared" si="227"/>
        <v>2759146.69</v>
      </c>
      <c r="M496" s="215">
        <f t="shared" si="227"/>
        <v>0</v>
      </c>
      <c r="N496" s="215">
        <f t="shared" si="227"/>
        <v>2759146.69</v>
      </c>
      <c r="O496" s="216">
        <f t="shared" si="227"/>
        <v>2794084.56</v>
      </c>
      <c r="P496" s="216">
        <f t="shared" si="227"/>
        <v>0</v>
      </c>
      <c r="Q496" s="215">
        <f>Q497+Q499</f>
        <v>0</v>
      </c>
      <c r="R496" s="215">
        <f>R497+R499</f>
        <v>2759146.69</v>
      </c>
      <c r="S496" s="216">
        <f t="shared" si="227"/>
        <v>2794084.56</v>
      </c>
      <c r="T496" s="217">
        <f t="shared" si="227"/>
        <v>2907388.6299999994</v>
      </c>
      <c r="U496" s="217">
        <f t="shared" si="227"/>
        <v>0</v>
      </c>
      <c r="V496" s="216">
        <f>V497+V499</f>
        <v>0</v>
      </c>
      <c r="W496" s="216">
        <f>W497+W499</f>
        <v>2794084.56</v>
      </c>
      <c r="X496" s="217">
        <f t="shared" si="227"/>
        <v>2907388.6299999994</v>
      </c>
      <c r="Y496" s="68">
        <f>Y497+Y499</f>
        <v>0</v>
      </c>
      <c r="Z496" s="216">
        <f>Z497+Z499</f>
        <v>2907388.6299999994</v>
      </c>
    </row>
    <row r="497" spans="2:26" ht="51" x14ac:dyDescent="0.2">
      <c r="B497" s="212" t="s">
        <v>67</v>
      </c>
      <c r="C497" s="117" t="s">
        <v>5</v>
      </c>
      <c r="D497" s="72" t="s">
        <v>135</v>
      </c>
      <c r="E497" s="72" t="s">
        <v>135</v>
      </c>
      <c r="F497" s="72" t="s">
        <v>135</v>
      </c>
      <c r="G497" s="72" t="s">
        <v>283</v>
      </c>
      <c r="H497" s="67" t="s">
        <v>137</v>
      </c>
      <c r="I497" s="214">
        <v>100</v>
      </c>
      <c r="J497" s="118">
        <f t="shared" ref="J497:Z497" si="228">J498</f>
        <v>1879400</v>
      </c>
      <c r="K497" s="209">
        <f t="shared" si="228"/>
        <v>0</v>
      </c>
      <c r="L497" s="216">
        <f t="shared" si="228"/>
        <v>2671672.16</v>
      </c>
      <c r="M497" s="216">
        <f t="shared" si="228"/>
        <v>0</v>
      </c>
      <c r="N497" s="216">
        <f t="shared" si="228"/>
        <v>2671672.16</v>
      </c>
      <c r="O497" s="216">
        <f t="shared" si="228"/>
        <v>2703760.0300000003</v>
      </c>
      <c r="P497" s="216">
        <f t="shared" si="228"/>
        <v>0</v>
      </c>
      <c r="Q497" s="216">
        <f t="shared" si="228"/>
        <v>0</v>
      </c>
      <c r="R497" s="216">
        <f t="shared" si="228"/>
        <v>2671672.16</v>
      </c>
      <c r="S497" s="216">
        <f t="shared" si="228"/>
        <v>2703760.0300000003</v>
      </c>
      <c r="T497" s="216">
        <f t="shared" si="228"/>
        <v>2817064.0999999996</v>
      </c>
      <c r="U497" s="216">
        <f t="shared" si="228"/>
        <v>0</v>
      </c>
      <c r="V497" s="216">
        <f t="shared" si="228"/>
        <v>0</v>
      </c>
      <c r="W497" s="216">
        <f t="shared" si="228"/>
        <v>2703760.0300000003</v>
      </c>
      <c r="X497" s="216">
        <f t="shared" si="228"/>
        <v>2817064.0999999996</v>
      </c>
      <c r="Y497" s="215">
        <f t="shared" si="228"/>
        <v>0</v>
      </c>
      <c r="Z497" s="216">
        <f t="shared" si="228"/>
        <v>2817064.0999999996</v>
      </c>
    </row>
    <row r="498" spans="2:26" ht="25.5" x14ac:dyDescent="0.2">
      <c r="B498" s="212" t="s">
        <v>61</v>
      </c>
      <c r="C498" s="117" t="s">
        <v>5</v>
      </c>
      <c r="D498" s="72" t="s">
        <v>135</v>
      </c>
      <c r="E498" s="72" t="s">
        <v>135</v>
      </c>
      <c r="F498" s="72" t="s">
        <v>135</v>
      </c>
      <c r="G498" s="72" t="s">
        <v>283</v>
      </c>
      <c r="H498" s="67" t="s">
        <v>137</v>
      </c>
      <c r="I498" s="214">
        <v>120</v>
      </c>
      <c r="J498" s="68">
        <f>1814400+65000</f>
        <v>1879400</v>
      </c>
      <c r="K498" s="215">
        <v>0</v>
      </c>
      <c r="L498" s="216">
        <f>2003907.96+602764.2+65000</f>
        <v>2671672.16</v>
      </c>
      <c r="M498" s="216">
        <v>0</v>
      </c>
      <c r="N498" s="216">
        <f>2003907.96+602764.2+65000</f>
        <v>2671672.16</v>
      </c>
      <c r="O498" s="216">
        <f>2066955.48+621804.55+15000</f>
        <v>2703760.0300000003</v>
      </c>
      <c r="P498" s="216">
        <v>0</v>
      </c>
      <c r="Q498" s="216">
        <v>0</v>
      </c>
      <c r="R498" s="216">
        <f>2003907.96+602764.2+65000</f>
        <v>2671672.16</v>
      </c>
      <c r="S498" s="216">
        <f>2066955.48+621804.55+15000</f>
        <v>2703760.0300000003</v>
      </c>
      <c r="T498" s="216">
        <f>2115576.11+636487.99+65000</f>
        <v>2817064.0999999996</v>
      </c>
      <c r="U498" s="216">
        <v>0</v>
      </c>
      <c r="V498" s="216">
        <v>0</v>
      </c>
      <c r="W498" s="216">
        <f>2066955.48+621804.55+15000</f>
        <v>2703760.0300000003</v>
      </c>
      <c r="X498" s="216">
        <f>2115576.11+636487.99+65000</f>
        <v>2817064.0999999996</v>
      </c>
      <c r="Y498" s="215">
        <v>0</v>
      </c>
      <c r="Z498" s="216">
        <f>2115576.11+636487.99+65000</f>
        <v>2817064.0999999996</v>
      </c>
    </row>
    <row r="499" spans="2:26" ht="25.5" x14ac:dyDescent="0.2">
      <c r="B499" s="212" t="s">
        <v>52</v>
      </c>
      <c r="C499" s="117" t="s">
        <v>5</v>
      </c>
      <c r="D499" s="72" t="s">
        <v>135</v>
      </c>
      <c r="E499" s="72" t="s">
        <v>135</v>
      </c>
      <c r="F499" s="72" t="s">
        <v>135</v>
      </c>
      <c r="G499" s="72" t="s">
        <v>283</v>
      </c>
      <c r="H499" s="67" t="s">
        <v>137</v>
      </c>
      <c r="I499" s="214">
        <v>200</v>
      </c>
      <c r="J499" s="68">
        <f t="shared" ref="J499:Z499" si="229">J500</f>
        <v>82500</v>
      </c>
      <c r="K499" s="215">
        <f t="shared" si="229"/>
        <v>0</v>
      </c>
      <c r="L499" s="216">
        <f t="shared" si="229"/>
        <v>87474.53</v>
      </c>
      <c r="M499" s="216">
        <f t="shared" si="229"/>
        <v>0</v>
      </c>
      <c r="N499" s="216">
        <f t="shared" si="229"/>
        <v>87474.53</v>
      </c>
      <c r="O499" s="216">
        <f t="shared" si="229"/>
        <v>90324.53</v>
      </c>
      <c r="P499" s="216">
        <f t="shared" si="229"/>
        <v>0</v>
      </c>
      <c r="Q499" s="216">
        <f t="shared" si="229"/>
        <v>0</v>
      </c>
      <c r="R499" s="216">
        <f t="shared" si="229"/>
        <v>87474.53</v>
      </c>
      <c r="S499" s="216">
        <f t="shared" si="229"/>
        <v>90324.53</v>
      </c>
      <c r="T499" s="216">
        <f t="shared" si="229"/>
        <v>90324.53</v>
      </c>
      <c r="U499" s="216">
        <f t="shared" si="229"/>
        <v>0</v>
      </c>
      <c r="V499" s="216">
        <f t="shared" si="229"/>
        <v>0</v>
      </c>
      <c r="W499" s="216">
        <f t="shared" si="229"/>
        <v>90324.53</v>
      </c>
      <c r="X499" s="216">
        <f t="shared" si="229"/>
        <v>90324.53</v>
      </c>
      <c r="Y499" s="215">
        <f t="shared" si="229"/>
        <v>0</v>
      </c>
      <c r="Z499" s="216">
        <f t="shared" si="229"/>
        <v>90324.53</v>
      </c>
    </row>
    <row r="500" spans="2:26" ht="25.5" x14ac:dyDescent="0.2">
      <c r="B500" s="362" t="s">
        <v>54</v>
      </c>
      <c r="C500" s="72" t="s">
        <v>5</v>
      </c>
      <c r="D500" s="72" t="s">
        <v>135</v>
      </c>
      <c r="E500" s="72" t="s">
        <v>135</v>
      </c>
      <c r="F500" s="72" t="s">
        <v>135</v>
      </c>
      <c r="G500" s="72" t="s">
        <v>283</v>
      </c>
      <c r="H500" s="67" t="s">
        <v>137</v>
      </c>
      <c r="I500" s="214">
        <v>240</v>
      </c>
      <c r="J500" s="68">
        <v>82500</v>
      </c>
      <c r="K500" s="215">
        <v>0</v>
      </c>
      <c r="L500" s="216">
        <v>87474.53</v>
      </c>
      <c r="M500" s="216">
        <v>0</v>
      </c>
      <c r="N500" s="216">
        <v>87474.53</v>
      </c>
      <c r="O500" s="216">
        <v>90324.53</v>
      </c>
      <c r="P500" s="216">
        <v>0</v>
      </c>
      <c r="Q500" s="216">
        <v>0</v>
      </c>
      <c r="R500" s="216">
        <v>87474.53</v>
      </c>
      <c r="S500" s="216">
        <v>90324.53</v>
      </c>
      <c r="T500" s="216">
        <v>90324.53</v>
      </c>
      <c r="U500" s="216">
        <v>0</v>
      </c>
      <c r="V500" s="216">
        <v>0</v>
      </c>
      <c r="W500" s="216">
        <v>90324.53</v>
      </c>
      <c r="X500" s="216">
        <v>90324.53</v>
      </c>
      <c r="Y500" s="215">
        <v>0</v>
      </c>
      <c r="Z500" s="216">
        <v>90324.53</v>
      </c>
    </row>
    <row r="501" spans="2:26" ht="25.5" x14ac:dyDescent="0.2">
      <c r="B501" s="212" t="s">
        <v>343</v>
      </c>
      <c r="C501" s="103" t="s">
        <v>5</v>
      </c>
      <c r="D501" s="66" t="s">
        <v>135</v>
      </c>
      <c r="E501" s="66" t="s">
        <v>135</v>
      </c>
      <c r="F501" s="66" t="s">
        <v>135</v>
      </c>
      <c r="G501" s="66" t="s">
        <v>283</v>
      </c>
      <c r="H501" s="67" t="s">
        <v>134</v>
      </c>
      <c r="I501" s="309"/>
      <c r="J501" s="68">
        <f t="shared" ref="J501:Y502" si="230">J502</f>
        <v>1225000</v>
      </c>
      <c r="K501" s="69">
        <f t="shared" si="230"/>
        <v>0</v>
      </c>
      <c r="L501" s="216">
        <f t="shared" ref="L501:X501" si="231">L502+L504</f>
        <v>1268426.8500000001</v>
      </c>
      <c r="M501" s="216">
        <f t="shared" si="231"/>
        <v>0</v>
      </c>
      <c r="N501" s="216">
        <f t="shared" si="231"/>
        <v>1268426.8500000001</v>
      </c>
      <c r="O501" s="216">
        <f t="shared" si="231"/>
        <v>1221746.97</v>
      </c>
      <c r="P501" s="216">
        <f t="shared" si="231"/>
        <v>0</v>
      </c>
      <c r="Q501" s="216">
        <f>Q502+Q504</f>
        <v>0</v>
      </c>
      <c r="R501" s="216">
        <f>R502+R504</f>
        <v>1268426.8500000001</v>
      </c>
      <c r="S501" s="216">
        <f t="shared" si="231"/>
        <v>1221746.97</v>
      </c>
      <c r="T501" s="216">
        <f t="shared" si="231"/>
        <v>1248329.45</v>
      </c>
      <c r="U501" s="216">
        <f t="shared" si="231"/>
        <v>0</v>
      </c>
      <c r="V501" s="216">
        <f>V502+V504</f>
        <v>0</v>
      </c>
      <c r="W501" s="216">
        <f>W502+W504</f>
        <v>1221746.97</v>
      </c>
      <c r="X501" s="216">
        <f t="shared" si="231"/>
        <v>1248329.45</v>
      </c>
      <c r="Y501" s="215">
        <f>Y502+Y504</f>
        <v>0</v>
      </c>
      <c r="Z501" s="216">
        <f>Z502+Z504</f>
        <v>1248329.45</v>
      </c>
    </row>
    <row r="502" spans="2:26" ht="51" x14ac:dyDescent="0.2">
      <c r="B502" s="212" t="s">
        <v>67</v>
      </c>
      <c r="C502" s="103" t="s">
        <v>5</v>
      </c>
      <c r="D502" s="66" t="s">
        <v>135</v>
      </c>
      <c r="E502" s="66" t="s">
        <v>135</v>
      </c>
      <c r="F502" s="66" t="s">
        <v>135</v>
      </c>
      <c r="G502" s="66" t="s">
        <v>283</v>
      </c>
      <c r="H502" s="67" t="s">
        <v>134</v>
      </c>
      <c r="I502" s="309">
        <v>100</v>
      </c>
      <c r="J502" s="68">
        <f t="shared" si="230"/>
        <v>1225000</v>
      </c>
      <c r="K502" s="69">
        <f t="shared" si="230"/>
        <v>0</v>
      </c>
      <c r="L502" s="216">
        <f t="shared" si="230"/>
        <v>1102131.71</v>
      </c>
      <c r="M502" s="216">
        <f t="shared" si="230"/>
        <v>0</v>
      </c>
      <c r="N502" s="216">
        <f t="shared" si="230"/>
        <v>1102131.71</v>
      </c>
      <c r="O502" s="216">
        <f t="shared" si="230"/>
        <v>1136601.83</v>
      </c>
      <c r="P502" s="216">
        <f t="shared" si="230"/>
        <v>0</v>
      </c>
      <c r="Q502" s="216">
        <f t="shared" si="230"/>
        <v>0</v>
      </c>
      <c r="R502" s="216">
        <f t="shared" si="230"/>
        <v>1102131.71</v>
      </c>
      <c r="S502" s="216">
        <f t="shared" si="230"/>
        <v>1136601.83</v>
      </c>
      <c r="T502" s="216">
        <f t="shared" si="230"/>
        <v>1163184.31</v>
      </c>
      <c r="U502" s="216">
        <f t="shared" si="230"/>
        <v>0</v>
      </c>
      <c r="V502" s="216">
        <f t="shared" si="230"/>
        <v>0</v>
      </c>
      <c r="W502" s="216">
        <f t="shared" si="230"/>
        <v>1136601.83</v>
      </c>
      <c r="X502" s="216">
        <f t="shared" si="230"/>
        <v>1163184.31</v>
      </c>
      <c r="Y502" s="215">
        <f t="shared" si="230"/>
        <v>0</v>
      </c>
      <c r="Z502" s="216">
        <f>Z503</f>
        <v>1163184.31</v>
      </c>
    </row>
    <row r="503" spans="2:26" ht="25.5" x14ac:dyDescent="0.2">
      <c r="B503" s="212" t="s">
        <v>61</v>
      </c>
      <c r="C503" s="103" t="s">
        <v>5</v>
      </c>
      <c r="D503" s="66" t="s">
        <v>135</v>
      </c>
      <c r="E503" s="66" t="s">
        <v>135</v>
      </c>
      <c r="F503" s="66" t="s">
        <v>135</v>
      </c>
      <c r="G503" s="66" t="s">
        <v>283</v>
      </c>
      <c r="H503" s="67" t="s">
        <v>134</v>
      </c>
      <c r="I503" s="309">
        <v>120</v>
      </c>
      <c r="J503" s="68">
        <v>1225000</v>
      </c>
      <c r="K503" s="69">
        <v>0</v>
      </c>
      <c r="L503" s="216">
        <f>847419.13+254712.58</f>
        <v>1102131.71</v>
      </c>
      <c r="M503" s="216">
        <v>0</v>
      </c>
      <c r="N503" s="216">
        <f>847419.13+254712.58</f>
        <v>1102131.71</v>
      </c>
      <c r="O503" s="216">
        <f>873893.88+262707.95</f>
        <v>1136601.83</v>
      </c>
      <c r="P503" s="216">
        <v>0</v>
      </c>
      <c r="Q503" s="216">
        <v>0</v>
      </c>
      <c r="R503" s="216">
        <f>847419.13+254712.58</f>
        <v>1102131.71</v>
      </c>
      <c r="S503" s="216">
        <f>873893.88+262707.95</f>
        <v>1136601.83</v>
      </c>
      <c r="T503" s="216">
        <f>894310.53+268873.78</f>
        <v>1163184.31</v>
      </c>
      <c r="U503" s="216">
        <v>0</v>
      </c>
      <c r="V503" s="216">
        <v>0</v>
      </c>
      <c r="W503" s="216">
        <f>873893.88+262707.95</f>
        <v>1136601.83</v>
      </c>
      <c r="X503" s="216">
        <f>894310.53+268873.78</f>
        <v>1163184.31</v>
      </c>
      <c r="Y503" s="215">
        <v>0</v>
      </c>
      <c r="Z503" s="216">
        <f>894310.53+268873.78</f>
        <v>1163184.31</v>
      </c>
    </row>
    <row r="504" spans="2:26" ht="25.5" x14ac:dyDescent="0.2">
      <c r="B504" s="212" t="s">
        <v>52</v>
      </c>
      <c r="C504" s="103" t="s">
        <v>5</v>
      </c>
      <c r="D504" s="66" t="s">
        <v>135</v>
      </c>
      <c r="E504" s="66" t="s">
        <v>135</v>
      </c>
      <c r="F504" s="66" t="s">
        <v>135</v>
      </c>
      <c r="G504" s="66" t="s">
        <v>283</v>
      </c>
      <c r="H504" s="67" t="s">
        <v>134</v>
      </c>
      <c r="I504" s="309">
        <v>200</v>
      </c>
      <c r="J504" s="68"/>
      <c r="K504" s="69"/>
      <c r="L504" s="216">
        <f t="shared" ref="L504:Z504" si="232">L505</f>
        <v>166295.14000000001</v>
      </c>
      <c r="M504" s="216">
        <f t="shared" si="232"/>
        <v>0</v>
      </c>
      <c r="N504" s="216">
        <f t="shared" si="232"/>
        <v>166295.14000000001</v>
      </c>
      <c r="O504" s="216">
        <f t="shared" si="232"/>
        <v>85145.14</v>
      </c>
      <c r="P504" s="216">
        <f t="shared" si="232"/>
        <v>0</v>
      </c>
      <c r="Q504" s="216">
        <f t="shared" si="232"/>
        <v>0</v>
      </c>
      <c r="R504" s="216">
        <f t="shared" si="232"/>
        <v>166295.14000000001</v>
      </c>
      <c r="S504" s="216">
        <f t="shared" si="232"/>
        <v>85145.14</v>
      </c>
      <c r="T504" s="216">
        <f t="shared" si="232"/>
        <v>85145.14</v>
      </c>
      <c r="U504" s="216">
        <f t="shared" si="232"/>
        <v>0</v>
      </c>
      <c r="V504" s="216">
        <f t="shared" si="232"/>
        <v>0</v>
      </c>
      <c r="W504" s="216">
        <f t="shared" si="232"/>
        <v>85145.14</v>
      </c>
      <c r="X504" s="216">
        <f t="shared" si="232"/>
        <v>85145.14</v>
      </c>
      <c r="Y504" s="215">
        <f t="shared" si="232"/>
        <v>0</v>
      </c>
      <c r="Z504" s="216">
        <f t="shared" si="232"/>
        <v>85145.14</v>
      </c>
    </row>
    <row r="505" spans="2:26" ht="25.5" x14ac:dyDescent="0.2">
      <c r="B505" s="212" t="s">
        <v>54</v>
      </c>
      <c r="C505" s="103" t="s">
        <v>5</v>
      </c>
      <c r="D505" s="66" t="s">
        <v>135</v>
      </c>
      <c r="E505" s="66" t="s">
        <v>135</v>
      </c>
      <c r="F505" s="66" t="s">
        <v>135</v>
      </c>
      <c r="G505" s="66" t="s">
        <v>283</v>
      </c>
      <c r="H505" s="67" t="s">
        <v>134</v>
      </c>
      <c r="I505" s="309">
        <v>240</v>
      </c>
      <c r="J505" s="68"/>
      <c r="K505" s="69"/>
      <c r="L505" s="216">
        <v>166295.14000000001</v>
      </c>
      <c r="M505" s="216">
        <v>0</v>
      </c>
      <c r="N505" s="216">
        <v>166295.14000000001</v>
      </c>
      <c r="O505" s="216">
        <v>85145.14</v>
      </c>
      <c r="P505" s="216">
        <v>0</v>
      </c>
      <c r="Q505" s="216">
        <v>0</v>
      </c>
      <c r="R505" s="216">
        <v>166295.14000000001</v>
      </c>
      <c r="S505" s="216">
        <v>85145.14</v>
      </c>
      <c r="T505" s="216">
        <v>85145.14</v>
      </c>
      <c r="U505" s="216">
        <v>0</v>
      </c>
      <c r="V505" s="216">
        <v>0</v>
      </c>
      <c r="W505" s="216">
        <v>85145.14</v>
      </c>
      <c r="X505" s="216">
        <v>85145.14</v>
      </c>
      <c r="Y505" s="215">
        <v>0</v>
      </c>
      <c r="Z505" s="216">
        <v>85145.14</v>
      </c>
    </row>
    <row r="506" spans="2:26" hidden="1" x14ac:dyDescent="0.2">
      <c r="B506" s="362" t="s">
        <v>62</v>
      </c>
      <c r="C506" s="72" t="s">
        <v>5</v>
      </c>
      <c r="D506" s="72" t="s">
        <v>135</v>
      </c>
      <c r="E506" s="72" t="s">
        <v>135</v>
      </c>
      <c r="F506" s="72" t="s">
        <v>135</v>
      </c>
      <c r="G506" s="72" t="s">
        <v>27</v>
      </c>
      <c r="H506" s="67" t="s">
        <v>135</v>
      </c>
      <c r="I506" s="214">
        <v>800</v>
      </c>
      <c r="J506" s="118">
        <f t="shared" ref="J506:X506" si="233">J508+J507</f>
        <v>0</v>
      </c>
      <c r="K506" s="209">
        <f t="shared" si="233"/>
        <v>0</v>
      </c>
      <c r="L506" s="210">
        <f t="shared" si="233"/>
        <v>0</v>
      </c>
      <c r="M506" s="210">
        <f t="shared" si="233"/>
        <v>0</v>
      </c>
      <c r="N506" s="210">
        <f t="shared" si="233"/>
        <v>0</v>
      </c>
      <c r="O506" s="210">
        <f t="shared" si="233"/>
        <v>0</v>
      </c>
      <c r="P506" s="210">
        <f t="shared" si="233"/>
        <v>0</v>
      </c>
      <c r="Q506" s="210">
        <f>Q508+Q507</f>
        <v>0</v>
      </c>
      <c r="R506" s="210">
        <f>R508+R507</f>
        <v>0</v>
      </c>
      <c r="S506" s="210">
        <f t="shared" si="233"/>
        <v>0</v>
      </c>
      <c r="T506" s="211">
        <f t="shared" si="233"/>
        <v>0</v>
      </c>
      <c r="U506" s="211">
        <f t="shared" si="233"/>
        <v>0</v>
      </c>
      <c r="V506" s="210">
        <f>V508+V507</f>
        <v>0</v>
      </c>
      <c r="W506" s="210">
        <f>W508+W507</f>
        <v>0</v>
      </c>
      <c r="X506" s="211">
        <f t="shared" si="233"/>
        <v>0</v>
      </c>
      <c r="Y506" s="118">
        <f>Y508+Y507</f>
        <v>0</v>
      </c>
      <c r="Z506" s="210">
        <f>Z508+Z507</f>
        <v>0</v>
      </c>
    </row>
    <row r="507" spans="2:26" hidden="1" x14ac:dyDescent="0.2">
      <c r="B507" s="362" t="s">
        <v>174</v>
      </c>
      <c r="C507" s="72" t="s">
        <v>5</v>
      </c>
      <c r="D507" s="72" t="s">
        <v>135</v>
      </c>
      <c r="E507" s="72" t="s">
        <v>135</v>
      </c>
      <c r="F507" s="72" t="s">
        <v>135</v>
      </c>
      <c r="G507" s="72" t="s">
        <v>27</v>
      </c>
      <c r="H507" s="67" t="s">
        <v>135</v>
      </c>
      <c r="I507" s="214" t="s">
        <v>173</v>
      </c>
      <c r="J507" s="118">
        <v>0</v>
      </c>
      <c r="K507" s="209">
        <v>0</v>
      </c>
      <c r="L507" s="210">
        <v>0</v>
      </c>
      <c r="M507" s="210">
        <v>0</v>
      </c>
      <c r="N507" s="210">
        <v>0</v>
      </c>
      <c r="O507" s="210">
        <v>0</v>
      </c>
      <c r="P507" s="210">
        <v>0</v>
      </c>
      <c r="Q507" s="210">
        <v>0</v>
      </c>
      <c r="R507" s="210">
        <v>0</v>
      </c>
      <c r="S507" s="210">
        <v>0</v>
      </c>
      <c r="T507" s="211">
        <v>0</v>
      </c>
      <c r="U507" s="211">
        <v>0</v>
      </c>
      <c r="V507" s="210">
        <v>0</v>
      </c>
      <c r="W507" s="210">
        <v>0</v>
      </c>
      <c r="X507" s="211">
        <v>0</v>
      </c>
      <c r="Y507" s="118">
        <v>0</v>
      </c>
      <c r="Z507" s="210">
        <v>0</v>
      </c>
    </row>
    <row r="508" spans="2:26" ht="20.25" hidden="1" customHeight="1" x14ac:dyDescent="0.2">
      <c r="B508" s="362" t="s">
        <v>64</v>
      </c>
      <c r="C508" s="72" t="s">
        <v>5</v>
      </c>
      <c r="D508" s="72" t="s">
        <v>135</v>
      </c>
      <c r="E508" s="72" t="s">
        <v>135</v>
      </c>
      <c r="F508" s="72" t="s">
        <v>135</v>
      </c>
      <c r="G508" s="72" t="s">
        <v>27</v>
      </c>
      <c r="H508" s="67" t="s">
        <v>135</v>
      </c>
      <c r="I508" s="214" t="s">
        <v>65</v>
      </c>
      <c r="J508" s="118">
        <v>0</v>
      </c>
      <c r="K508" s="209">
        <v>0</v>
      </c>
      <c r="L508" s="210">
        <v>0</v>
      </c>
      <c r="M508" s="210">
        <v>0</v>
      </c>
      <c r="N508" s="210">
        <v>0</v>
      </c>
      <c r="O508" s="210">
        <v>0</v>
      </c>
      <c r="P508" s="210">
        <v>0</v>
      </c>
      <c r="Q508" s="210">
        <v>0</v>
      </c>
      <c r="R508" s="210">
        <v>0</v>
      </c>
      <c r="S508" s="210">
        <v>0</v>
      </c>
      <c r="T508" s="211">
        <v>0</v>
      </c>
      <c r="U508" s="211">
        <v>0</v>
      </c>
      <c r="V508" s="210">
        <v>0</v>
      </c>
      <c r="W508" s="210">
        <v>0</v>
      </c>
      <c r="X508" s="211">
        <v>0</v>
      </c>
      <c r="Y508" s="118">
        <v>0</v>
      </c>
      <c r="Z508" s="210">
        <v>0</v>
      </c>
    </row>
    <row r="509" spans="2:26" ht="15" customHeight="1" x14ac:dyDescent="0.2">
      <c r="B509" s="212"/>
      <c r="C509" s="305"/>
      <c r="D509" s="144"/>
      <c r="E509" s="144"/>
      <c r="F509" s="144"/>
      <c r="G509" s="144"/>
      <c r="H509" s="90"/>
      <c r="I509" s="307"/>
      <c r="J509" s="288"/>
      <c r="K509" s="264"/>
      <c r="L509" s="265"/>
      <c r="M509" s="265"/>
      <c r="N509" s="265"/>
      <c r="O509" s="265"/>
      <c r="P509" s="265"/>
      <c r="Q509" s="265"/>
      <c r="R509" s="265"/>
      <c r="S509" s="265"/>
      <c r="T509" s="266"/>
      <c r="U509" s="266"/>
      <c r="V509" s="265"/>
      <c r="W509" s="265"/>
      <c r="X509" s="266"/>
      <c r="Y509" s="288"/>
      <c r="Z509" s="265"/>
    </row>
    <row r="510" spans="2:26" x14ac:dyDescent="0.2">
      <c r="B510" s="267"/>
      <c r="C510" s="103"/>
      <c r="D510" s="66"/>
      <c r="E510" s="66"/>
      <c r="F510" s="66"/>
      <c r="G510" s="66"/>
      <c r="H510" s="67"/>
      <c r="I510" s="214"/>
      <c r="J510" s="118"/>
      <c r="K510" s="209"/>
      <c r="L510" s="312"/>
      <c r="M510" s="312"/>
      <c r="N510" s="312"/>
      <c r="O510" s="210"/>
      <c r="P510" s="210"/>
      <c r="Q510" s="312"/>
      <c r="R510" s="312"/>
      <c r="S510" s="210"/>
      <c r="T510" s="211"/>
      <c r="U510" s="211"/>
      <c r="V510" s="210"/>
      <c r="W510" s="210"/>
      <c r="X510" s="211"/>
      <c r="Y510" s="118"/>
      <c r="Z510" s="210"/>
    </row>
    <row r="511" spans="2:26" ht="31.5" x14ac:dyDescent="0.2">
      <c r="B511" s="198" t="s">
        <v>372</v>
      </c>
      <c r="C511" s="199" t="s">
        <v>6</v>
      </c>
      <c r="D511" s="200" t="s">
        <v>135</v>
      </c>
      <c r="E511" s="227" t="s">
        <v>135</v>
      </c>
      <c r="F511" s="227" t="s">
        <v>135</v>
      </c>
      <c r="G511" s="200" t="s">
        <v>136</v>
      </c>
      <c r="H511" s="228" t="s">
        <v>135</v>
      </c>
      <c r="I511" s="219"/>
      <c r="J511" s="195">
        <f t="shared" ref="J511:N513" si="234">J512</f>
        <v>500000</v>
      </c>
      <c r="K511" s="196">
        <f t="shared" si="234"/>
        <v>0</v>
      </c>
      <c r="L511" s="197">
        <f t="shared" si="234"/>
        <v>100000</v>
      </c>
      <c r="M511" s="197">
        <f t="shared" si="234"/>
        <v>0</v>
      </c>
      <c r="N511" s="197">
        <f t="shared" si="234"/>
        <v>100000</v>
      </c>
      <c r="O511" s="197">
        <f t="shared" ref="O511:Z513" si="235">O512</f>
        <v>100000</v>
      </c>
      <c r="P511" s="197">
        <f t="shared" si="235"/>
        <v>0</v>
      </c>
      <c r="Q511" s="197">
        <f t="shared" si="235"/>
        <v>0</v>
      </c>
      <c r="R511" s="197">
        <f t="shared" si="235"/>
        <v>100000</v>
      </c>
      <c r="S511" s="197">
        <f t="shared" si="235"/>
        <v>100000</v>
      </c>
      <c r="T511" s="203">
        <f t="shared" si="235"/>
        <v>100000</v>
      </c>
      <c r="U511" s="203">
        <f t="shared" si="235"/>
        <v>0</v>
      </c>
      <c r="V511" s="197">
        <f t="shared" si="235"/>
        <v>0</v>
      </c>
      <c r="W511" s="197">
        <f t="shared" si="235"/>
        <v>100000</v>
      </c>
      <c r="X511" s="203">
        <f t="shared" si="235"/>
        <v>100000</v>
      </c>
      <c r="Y511" s="195">
        <f t="shared" si="235"/>
        <v>0</v>
      </c>
      <c r="Z511" s="197">
        <f t="shared" si="235"/>
        <v>100000</v>
      </c>
    </row>
    <row r="512" spans="2:26" ht="25.5" x14ac:dyDescent="0.2">
      <c r="B512" s="212" t="s">
        <v>372</v>
      </c>
      <c r="C512" s="117" t="s">
        <v>6</v>
      </c>
      <c r="D512" s="72" t="s">
        <v>135</v>
      </c>
      <c r="E512" s="72" t="s">
        <v>135</v>
      </c>
      <c r="F512" s="72" t="s">
        <v>135</v>
      </c>
      <c r="G512" s="72" t="s">
        <v>15</v>
      </c>
      <c r="H512" s="67" t="s">
        <v>135</v>
      </c>
      <c r="I512" s="309"/>
      <c r="J512" s="209">
        <f t="shared" si="234"/>
        <v>500000</v>
      </c>
      <c r="K512" s="209">
        <f t="shared" si="234"/>
        <v>0</v>
      </c>
      <c r="L512" s="210">
        <f t="shared" si="234"/>
        <v>100000</v>
      </c>
      <c r="M512" s="210">
        <f t="shared" si="234"/>
        <v>0</v>
      </c>
      <c r="N512" s="210">
        <f t="shared" si="234"/>
        <v>100000</v>
      </c>
      <c r="O512" s="210">
        <f t="shared" si="235"/>
        <v>100000</v>
      </c>
      <c r="P512" s="210">
        <f t="shared" si="235"/>
        <v>0</v>
      </c>
      <c r="Q512" s="210">
        <f t="shared" si="235"/>
        <v>0</v>
      </c>
      <c r="R512" s="210">
        <f t="shared" si="235"/>
        <v>100000</v>
      </c>
      <c r="S512" s="210">
        <f t="shared" si="235"/>
        <v>100000</v>
      </c>
      <c r="T512" s="211">
        <f t="shared" si="235"/>
        <v>100000</v>
      </c>
      <c r="U512" s="211">
        <f t="shared" si="235"/>
        <v>0</v>
      </c>
      <c r="V512" s="210">
        <f t="shared" si="235"/>
        <v>0</v>
      </c>
      <c r="W512" s="210">
        <f t="shared" si="235"/>
        <v>100000</v>
      </c>
      <c r="X512" s="211">
        <f t="shared" si="235"/>
        <v>100000</v>
      </c>
      <c r="Y512" s="118">
        <f t="shared" si="235"/>
        <v>0</v>
      </c>
      <c r="Z512" s="210">
        <f t="shared" si="235"/>
        <v>100000</v>
      </c>
    </row>
    <row r="513" spans="2:26" x14ac:dyDescent="0.2">
      <c r="B513" s="212" t="s">
        <v>62</v>
      </c>
      <c r="C513" s="117" t="s">
        <v>6</v>
      </c>
      <c r="D513" s="72" t="s">
        <v>135</v>
      </c>
      <c r="E513" s="72" t="s">
        <v>135</v>
      </c>
      <c r="F513" s="72" t="s">
        <v>135</v>
      </c>
      <c r="G513" s="72" t="s">
        <v>15</v>
      </c>
      <c r="H513" s="67" t="s">
        <v>135</v>
      </c>
      <c r="I513" s="309" t="s">
        <v>63</v>
      </c>
      <c r="J513" s="209">
        <f t="shared" si="234"/>
        <v>500000</v>
      </c>
      <c r="K513" s="209">
        <f t="shared" si="234"/>
        <v>0</v>
      </c>
      <c r="L513" s="210">
        <f t="shared" si="234"/>
        <v>100000</v>
      </c>
      <c r="M513" s="210">
        <f t="shared" si="234"/>
        <v>0</v>
      </c>
      <c r="N513" s="210">
        <f t="shared" si="234"/>
        <v>100000</v>
      </c>
      <c r="O513" s="210">
        <f t="shared" si="235"/>
        <v>100000</v>
      </c>
      <c r="P513" s="210">
        <f t="shared" si="235"/>
        <v>0</v>
      </c>
      <c r="Q513" s="210">
        <f t="shared" si="235"/>
        <v>0</v>
      </c>
      <c r="R513" s="210">
        <f t="shared" si="235"/>
        <v>100000</v>
      </c>
      <c r="S513" s="210">
        <f t="shared" si="235"/>
        <v>100000</v>
      </c>
      <c r="T513" s="211">
        <f t="shared" si="235"/>
        <v>100000</v>
      </c>
      <c r="U513" s="211">
        <f t="shared" si="235"/>
        <v>0</v>
      </c>
      <c r="V513" s="210">
        <v>0</v>
      </c>
      <c r="W513" s="210">
        <f t="shared" si="235"/>
        <v>100000</v>
      </c>
      <c r="X513" s="211">
        <f t="shared" si="235"/>
        <v>100000</v>
      </c>
      <c r="Y513" s="118">
        <f t="shared" si="235"/>
        <v>0</v>
      </c>
      <c r="Z513" s="210">
        <f t="shared" si="235"/>
        <v>100000</v>
      </c>
    </row>
    <row r="514" spans="2:26" x14ac:dyDescent="0.2">
      <c r="B514" s="280" t="s">
        <v>50</v>
      </c>
      <c r="C514" s="305" t="s">
        <v>6</v>
      </c>
      <c r="D514" s="144" t="s">
        <v>135</v>
      </c>
      <c r="E514" s="144" t="s">
        <v>135</v>
      </c>
      <c r="F514" s="144" t="s">
        <v>135</v>
      </c>
      <c r="G514" s="144" t="s">
        <v>15</v>
      </c>
      <c r="H514" s="90" t="s">
        <v>135</v>
      </c>
      <c r="I514" s="306">
        <v>870</v>
      </c>
      <c r="J514" s="264">
        <v>500000</v>
      </c>
      <c r="K514" s="264">
        <v>0</v>
      </c>
      <c r="L514" s="265">
        <v>100000</v>
      </c>
      <c r="M514" s="265">
        <v>0</v>
      </c>
      <c r="N514" s="265">
        <v>100000</v>
      </c>
      <c r="O514" s="265">
        <v>100000</v>
      </c>
      <c r="P514" s="265">
        <v>0</v>
      </c>
      <c r="Q514" s="265">
        <v>0</v>
      </c>
      <c r="R514" s="265">
        <v>100000</v>
      </c>
      <c r="S514" s="265">
        <v>100000</v>
      </c>
      <c r="T514" s="266">
        <v>100000</v>
      </c>
      <c r="U514" s="266">
        <v>0</v>
      </c>
      <c r="V514" s="265">
        <v>0</v>
      </c>
      <c r="W514" s="265">
        <v>100000</v>
      </c>
      <c r="X514" s="266">
        <v>100000</v>
      </c>
      <c r="Y514" s="288">
        <v>0</v>
      </c>
      <c r="Z514" s="265">
        <v>100000</v>
      </c>
    </row>
    <row r="515" spans="2:26" x14ac:dyDescent="0.2">
      <c r="B515" s="267"/>
      <c r="C515" s="317"/>
      <c r="D515" s="318"/>
      <c r="E515" s="318"/>
      <c r="F515" s="318"/>
      <c r="G515" s="318"/>
      <c r="H515" s="319"/>
      <c r="I515" s="242"/>
      <c r="J515" s="310"/>
      <c r="K515" s="311"/>
      <c r="L515" s="312"/>
      <c r="M515" s="312"/>
      <c r="N515" s="312"/>
      <c r="O515" s="312"/>
      <c r="P515" s="312"/>
      <c r="Q515" s="312"/>
      <c r="R515" s="312"/>
      <c r="S515" s="312"/>
      <c r="T515" s="313"/>
      <c r="U515" s="313"/>
      <c r="V515" s="312"/>
      <c r="W515" s="312"/>
      <c r="X515" s="313"/>
      <c r="Y515" s="310"/>
      <c r="Z515" s="312"/>
    </row>
    <row r="516" spans="2:26" ht="31.5" x14ac:dyDescent="0.2">
      <c r="B516" s="341" t="s">
        <v>46</v>
      </c>
      <c r="C516" s="302" t="s">
        <v>7</v>
      </c>
      <c r="D516" s="227" t="s">
        <v>135</v>
      </c>
      <c r="E516" s="227" t="s">
        <v>135</v>
      </c>
      <c r="F516" s="227" t="s">
        <v>135</v>
      </c>
      <c r="G516" s="227" t="s">
        <v>136</v>
      </c>
      <c r="H516" s="228" t="s">
        <v>135</v>
      </c>
      <c r="I516" s="303"/>
      <c r="J516" s="195" t="e">
        <f>J524+J536+J517+#REF!</f>
        <v>#REF!</v>
      </c>
      <c r="K516" s="196" t="e">
        <f>K524+K536+K517+#REF!</f>
        <v>#REF!</v>
      </c>
      <c r="L516" s="197">
        <f t="shared" ref="L516:M516" si="236">L524+L536+L517</f>
        <v>41467770.539999999</v>
      </c>
      <c r="M516" s="197">
        <f t="shared" si="236"/>
        <v>0</v>
      </c>
      <c r="N516" s="197">
        <f>N524+N536+N517+N539+N544+N533+N551</f>
        <v>42242843.939999998</v>
      </c>
      <c r="O516" s="197">
        <f t="shared" ref="O516:Z516" si="237">O524+O536+O517+O539+O544+O533+O551</f>
        <v>42515164.140000001</v>
      </c>
      <c r="P516" s="197">
        <f t="shared" si="237"/>
        <v>0</v>
      </c>
      <c r="Q516" s="197">
        <f t="shared" si="237"/>
        <v>103704.16000000015</v>
      </c>
      <c r="R516" s="197">
        <f t="shared" si="237"/>
        <v>42346548.099999994</v>
      </c>
      <c r="S516" s="197">
        <f t="shared" si="237"/>
        <v>42474294.140000001</v>
      </c>
      <c r="T516" s="197">
        <f t="shared" si="237"/>
        <v>42515164.140000001</v>
      </c>
      <c r="U516" s="197">
        <f t="shared" si="237"/>
        <v>0</v>
      </c>
      <c r="V516" s="197">
        <f t="shared" si="237"/>
        <v>4864313.37</v>
      </c>
      <c r="W516" s="197">
        <f t="shared" si="237"/>
        <v>47338607.509999998</v>
      </c>
      <c r="X516" s="197">
        <f t="shared" si="237"/>
        <v>42474294.140000001</v>
      </c>
      <c r="Y516" s="196">
        <f t="shared" si="237"/>
        <v>2974717.87</v>
      </c>
      <c r="Z516" s="197">
        <f t="shared" si="237"/>
        <v>45449012.009999998</v>
      </c>
    </row>
    <row r="517" spans="2:26" ht="25.5" x14ac:dyDescent="0.2">
      <c r="B517" s="212" t="s">
        <v>51</v>
      </c>
      <c r="C517" s="117" t="s">
        <v>7</v>
      </c>
      <c r="D517" s="72" t="s">
        <v>135</v>
      </c>
      <c r="E517" s="72" t="s">
        <v>135</v>
      </c>
      <c r="F517" s="72" t="s">
        <v>135</v>
      </c>
      <c r="G517" s="72" t="s">
        <v>13</v>
      </c>
      <c r="H517" s="67" t="s">
        <v>135</v>
      </c>
      <c r="I517" s="214"/>
      <c r="J517" s="118">
        <f t="shared" ref="J517:X517" si="238">J518+J520+J522</f>
        <v>16376638.829999998</v>
      </c>
      <c r="K517" s="209">
        <f t="shared" si="238"/>
        <v>0</v>
      </c>
      <c r="L517" s="210">
        <f t="shared" si="238"/>
        <v>41328670.539999999</v>
      </c>
      <c r="M517" s="210">
        <f t="shared" si="238"/>
        <v>0</v>
      </c>
      <c r="N517" s="210">
        <f t="shared" si="238"/>
        <v>41328670.539999999</v>
      </c>
      <c r="O517" s="210">
        <f t="shared" si="238"/>
        <v>41328670.539999999</v>
      </c>
      <c r="P517" s="210">
        <f t="shared" si="238"/>
        <v>0</v>
      </c>
      <c r="Q517" s="210">
        <f>Q518+Q520+Q522</f>
        <v>-2066657.64</v>
      </c>
      <c r="R517" s="210">
        <f>R518+R520+R522</f>
        <v>39262012.899999999</v>
      </c>
      <c r="S517" s="210">
        <f t="shared" si="238"/>
        <v>41328670.539999999</v>
      </c>
      <c r="T517" s="211">
        <f t="shared" si="238"/>
        <v>41328670.539999999</v>
      </c>
      <c r="U517" s="211">
        <f t="shared" si="238"/>
        <v>0</v>
      </c>
      <c r="V517" s="210">
        <f>V518+V520+V522</f>
        <v>0</v>
      </c>
      <c r="W517" s="210">
        <f>W518+W520+W522</f>
        <v>41328670.539999999</v>
      </c>
      <c r="X517" s="211">
        <f t="shared" si="238"/>
        <v>41328670.539999999</v>
      </c>
      <c r="Y517" s="118">
        <f>Y518+Y520+Y522</f>
        <v>0</v>
      </c>
      <c r="Z517" s="210">
        <f>Z518+Z520+Z522</f>
        <v>41328670.539999999</v>
      </c>
    </row>
    <row r="518" spans="2:26" ht="51" x14ac:dyDescent="0.2">
      <c r="B518" s="212" t="s">
        <v>67</v>
      </c>
      <c r="C518" s="117" t="s">
        <v>7</v>
      </c>
      <c r="D518" s="72" t="s">
        <v>135</v>
      </c>
      <c r="E518" s="72" t="s">
        <v>135</v>
      </c>
      <c r="F518" s="72" t="s">
        <v>135</v>
      </c>
      <c r="G518" s="72" t="s">
        <v>13</v>
      </c>
      <c r="H518" s="67" t="s">
        <v>135</v>
      </c>
      <c r="I518" s="214">
        <v>100</v>
      </c>
      <c r="J518" s="118">
        <f t="shared" ref="J518:Z518" si="239">J519</f>
        <v>10190538.369999999</v>
      </c>
      <c r="K518" s="209">
        <f t="shared" si="239"/>
        <v>0</v>
      </c>
      <c r="L518" s="216">
        <f t="shared" si="239"/>
        <v>23122426.870000001</v>
      </c>
      <c r="M518" s="216">
        <f t="shared" si="239"/>
        <v>0</v>
      </c>
      <c r="N518" s="216">
        <f t="shared" si="239"/>
        <v>23122426.870000001</v>
      </c>
      <c r="O518" s="216">
        <f t="shared" si="239"/>
        <v>23122426.870000001</v>
      </c>
      <c r="P518" s="216">
        <f t="shared" si="239"/>
        <v>0</v>
      </c>
      <c r="Q518" s="216">
        <f t="shared" si="239"/>
        <v>0</v>
      </c>
      <c r="R518" s="216">
        <f t="shared" si="239"/>
        <v>23122426.870000001</v>
      </c>
      <c r="S518" s="216">
        <f t="shared" si="239"/>
        <v>23122426.870000001</v>
      </c>
      <c r="T518" s="216">
        <f t="shared" si="239"/>
        <v>23122426.870000001</v>
      </c>
      <c r="U518" s="216">
        <f t="shared" si="239"/>
        <v>0</v>
      </c>
      <c r="V518" s="216">
        <f t="shared" si="239"/>
        <v>0</v>
      </c>
      <c r="W518" s="216">
        <f t="shared" si="239"/>
        <v>23122426.870000001</v>
      </c>
      <c r="X518" s="216">
        <f t="shared" si="239"/>
        <v>23122426.870000001</v>
      </c>
      <c r="Y518" s="215">
        <f t="shared" si="239"/>
        <v>0</v>
      </c>
      <c r="Z518" s="216">
        <f t="shared" si="239"/>
        <v>23122426.870000001</v>
      </c>
    </row>
    <row r="519" spans="2:26" x14ac:dyDescent="0.2">
      <c r="B519" s="212" t="s">
        <v>127</v>
      </c>
      <c r="C519" s="117" t="s">
        <v>7</v>
      </c>
      <c r="D519" s="72" t="s">
        <v>135</v>
      </c>
      <c r="E519" s="72" t="s">
        <v>135</v>
      </c>
      <c r="F519" s="72" t="s">
        <v>135</v>
      </c>
      <c r="G519" s="72" t="s">
        <v>13</v>
      </c>
      <c r="H519" s="67" t="s">
        <v>135</v>
      </c>
      <c r="I519" s="214" t="s">
        <v>66</v>
      </c>
      <c r="J519" s="68">
        <v>10190538.369999999</v>
      </c>
      <c r="K519" s="215">
        <v>0</v>
      </c>
      <c r="L519" s="216">
        <f>23042839.23+79587.64</f>
        <v>23122426.870000001</v>
      </c>
      <c r="M519" s="216">
        <v>0</v>
      </c>
      <c r="N519" s="216">
        <f>23042839.23+79587.64</f>
        <v>23122426.870000001</v>
      </c>
      <c r="O519" s="216">
        <f>23042839.23+79587.64</f>
        <v>23122426.870000001</v>
      </c>
      <c r="P519" s="216">
        <v>0</v>
      </c>
      <c r="Q519" s="216">
        <v>0</v>
      </c>
      <c r="R519" s="216">
        <f>23042839.23+79587.64</f>
        <v>23122426.870000001</v>
      </c>
      <c r="S519" s="216">
        <f>23042839.23+79587.64</f>
        <v>23122426.870000001</v>
      </c>
      <c r="T519" s="216">
        <f>23042839.23+79587.64</f>
        <v>23122426.870000001</v>
      </c>
      <c r="U519" s="216">
        <v>0</v>
      </c>
      <c r="V519" s="216">
        <v>0</v>
      </c>
      <c r="W519" s="216">
        <f>23042839.23+79587.64</f>
        <v>23122426.870000001</v>
      </c>
      <c r="X519" s="216">
        <f>23042839.23+79587.64</f>
        <v>23122426.870000001</v>
      </c>
      <c r="Y519" s="215">
        <v>0</v>
      </c>
      <c r="Z519" s="216">
        <f>23042839.23+79587.64</f>
        <v>23122426.870000001</v>
      </c>
    </row>
    <row r="520" spans="2:26" ht="25.5" x14ac:dyDescent="0.2">
      <c r="B520" s="212" t="s">
        <v>52</v>
      </c>
      <c r="C520" s="117" t="s">
        <v>7</v>
      </c>
      <c r="D520" s="72" t="s">
        <v>135</v>
      </c>
      <c r="E520" s="72" t="s">
        <v>135</v>
      </c>
      <c r="F520" s="72" t="s">
        <v>135</v>
      </c>
      <c r="G520" s="72" t="s">
        <v>13</v>
      </c>
      <c r="H520" s="67" t="s">
        <v>135</v>
      </c>
      <c r="I520" s="214">
        <v>200</v>
      </c>
      <c r="J520" s="68">
        <f t="shared" ref="J520:Z520" si="240">J521</f>
        <v>6026036.46</v>
      </c>
      <c r="K520" s="215">
        <f t="shared" si="240"/>
        <v>0</v>
      </c>
      <c r="L520" s="216">
        <f t="shared" si="240"/>
        <v>18062853.669999998</v>
      </c>
      <c r="M520" s="216">
        <f t="shared" si="240"/>
        <v>0</v>
      </c>
      <c r="N520" s="216">
        <f t="shared" si="240"/>
        <v>18062853.669999998</v>
      </c>
      <c r="O520" s="216">
        <f t="shared" si="240"/>
        <v>18062853.669999998</v>
      </c>
      <c r="P520" s="216">
        <f t="shared" si="240"/>
        <v>0</v>
      </c>
      <c r="Q520" s="216">
        <f t="shared" si="240"/>
        <v>-2066657.64</v>
      </c>
      <c r="R520" s="216">
        <f t="shared" si="240"/>
        <v>15996196.029999997</v>
      </c>
      <c r="S520" s="216">
        <f t="shared" si="240"/>
        <v>18062853.669999998</v>
      </c>
      <c r="T520" s="216">
        <f t="shared" si="240"/>
        <v>18062853.669999998</v>
      </c>
      <c r="U520" s="216">
        <f t="shared" si="240"/>
        <v>0</v>
      </c>
      <c r="V520" s="216">
        <f t="shared" si="240"/>
        <v>0</v>
      </c>
      <c r="W520" s="216">
        <f t="shared" si="240"/>
        <v>18062853.669999998</v>
      </c>
      <c r="X520" s="216">
        <f t="shared" si="240"/>
        <v>18062853.669999998</v>
      </c>
      <c r="Y520" s="215">
        <f t="shared" si="240"/>
        <v>0</v>
      </c>
      <c r="Z520" s="216">
        <f t="shared" si="240"/>
        <v>18062853.669999998</v>
      </c>
    </row>
    <row r="521" spans="2:26" ht="25.5" x14ac:dyDescent="0.2">
      <c r="B521" s="212" t="s">
        <v>54</v>
      </c>
      <c r="C521" s="117" t="s">
        <v>7</v>
      </c>
      <c r="D521" s="72" t="s">
        <v>135</v>
      </c>
      <c r="E521" s="72" t="s">
        <v>135</v>
      </c>
      <c r="F521" s="72" t="s">
        <v>135</v>
      </c>
      <c r="G521" s="72" t="s">
        <v>13</v>
      </c>
      <c r="H521" s="67" t="s">
        <v>135</v>
      </c>
      <c r="I521" s="214">
        <v>240</v>
      </c>
      <c r="J521" s="68">
        <v>6026036.46</v>
      </c>
      <c r="K521" s="215">
        <v>0</v>
      </c>
      <c r="L521" s="216">
        <f>18142441.31-79587.64</f>
        <v>18062853.669999998</v>
      </c>
      <c r="M521" s="216">
        <v>0</v>
      </c>
      <c r="N521" s="216">
        <f>18142441.31-79587.64</f>
        <v>18062853.669999998</v>
      </c>
      <c r="O521" s="216">
        <f>18142441.31-79587.64</f>
        <v>18062853.669999998</v>
      </c>
      <c r="P521" s="216">
        <v>0</v>
      </c>
      <c r="Q521" s="216">
        <f>-1866666.68-199990.96</f>
        <v>-2066657.64</v>
      </c>
      <c r="R521" s="216">
        <f>Q521+N521</f>
        <v>15996196.029999997</v>
      </c>
      <c r="S521" s="216">
        <f>18142441.31-79587.64</f>
        <v>18062853.669999998</v>
      </c>
      <c r="T521" s="216">
        <f>18142441.31-79587.64</f>
        <v>18062853.669999998</v>
      </c>
      <c r="U521" s="216">
        <v>0</v>
      </c>
      <c r="V521" s="216">
        <v>0</v>
      </c>
      <c r="W521" s="216">
        <f>18142441.31-79587.64</f>
        <v>18062853.669999998</v>
      </c>
      <c r="X521" s="216">
        <f>18142441.31-79587.64</f>
        <v>18062853.669999998</v>
      </c>
      <c r="Y521" s="215">
        <v>0</v>
      </c>
      <c r="Z521" s="216">
        <f>18142441.31-79587.64</f>
        <v>18062853.669999998</v>
      </c>
    </row>
    <row r="522" spans="2:26" x14ac:dyDescent="0.2">
      <c r="B522" s="212" t="s">
        <v>62</v>
      </c>
      <c r="C522" s="117" t="s">
        <v>7</v>
      </c>
      <c r="D522" s="72" t="s">
        <v>135</v>
      </c>
      <c r="E522" s="72" t="s">
        <v>135</v>
      </c>
      <c r="F522" s="72" t="s">
        <v>135</v>
      </c>
      <c r="G522" s="72" t="s">
        <v>13</v>
      </c>
      <c r="H522" s="67" t="s">
        <v>135</v>
      </c>
      <c r="I522" s="214">
        <v>800</v>
      </c>
      <c r="J522" s="68">
        <f t="shared" ref="J522:Z522" si="241">J523</f>
        <v>160064</v>
      </c>
      <c r="K522" s="215">
        <f t="shared" si="241"/>
        <v>0</v>
      </c>
      <c r="L522" s="216">
        <f t="shared" si="241"/>
        <v>143390</v>
      </c>
      <c r="M522" s="216">
        <f t="shared" si="241"/>
        <v>0</v>
      </c>
      <c r="N522" s="216">
        <f t="shared" si="241"/>
        <v>143390</v>
      </c>
      <c r="O522" s="216">
        <f t="shared" si="241"/>
        <v>143390</v>
      </c>
      <c r="P522" s="216">
        <f t="shared" si="241"/>
        <v>0</v>
      </c>
      <c r="Q522" s="216">
        <f t="shared" si="241"/>
        <v>0</v>
      </c>
      <c r="R522" s="216">
        <f t="shared" si="241"/>
        <v>143390</v>
      </c>
      <c r="S522" s="216">
        <f t="shared" si="241"/>
        <v>143390</v>
      </c>
      <c r="T522" s="216">
        <f t="shared" si="241"/>
        <v>143390</v>
      </c>
      <c r="U522" s="216">
        <f t="shared" si="241"/>
        <v>0</v>
      </c>
      <c r="V522" s="216">
        <f t="shared" si="241"/>
        <v>0</v>
      </c>
      <c r="W522" s="216">
        <f t="shared" si="241"/>
        <v>143390</v>
      </c>
      <c r="X522" s="216">
        <f t="shared" si="241"/>
        <v>143390</v>
      </c>
      <c r="Y522" s="215">
        <f t="shared" si="241"/>
        <v>0</v>
      </c>
      <c r="Z522" s="216">
        <f t="shared" si="241"/>
        <v>143390</v>
      </c>
    </row>
    <row r="523" spans="2:26" x14ac:dyDescent="0.2">
      <c r="B523" s="212" t="s">
        <v>64</v>
      </c>
      <c r="C523" s="117" t="s">
        <v>7</v>
      </c>
      <c r="D523" s="72" t="s">
        <v>135</v>
      </c>
      <c r="E523" s="72" t="s">
        <v>135</v>
      </c>
      <c r="F523" s="72" t="s">
        <v>135</v>
      </c>
      <c r="G523" s="72" t="s">
        <v>13</v>
      </c>
      <c r="H523" s="67" t="s">
        <v>135</v>
      </c>
      <c r="I523" s="214">
        <v>850</v>
      </c>
      <c r="J523" s="68">
        <v>160064</v>
      </c>
      <c r="K523" s="215">
        <v>0</v>
      </c>
      <c r="L523" s="216">
        <v>143390</v>
      </c>
      <c r="M523" s="216">
        <v>0</v>
      </c>
      <c r="N523" s="216">
        <v>143390</v>
      </c>
      <c r="O523" s="216">
        <v>143390</v>
      </c>
      <c r="P523" s="216">
        <v>0</v>
      </c>
      <c r="Q523" s="216">
        <v>0</v>
      </c>
      <c r="R523" s="216">
        <v>143390</v>
      </c>
      <c r="S523" s="216">
        <v>143390</v>
      </c>
      <c r="T523" s="216">
        <v>143390</v>
      </c>
      <c r="U523" s="216">
        <v>0</v>
      </c>
      <c r="V523" s="216">
        <v>0</v>
      </c>
      <c r="W523" s="216">
        <v>143390</v>
      </c>
      <c r="X523" s="216">
        <v>143390</v>
      </c>
      <c r="Y523" s="215">
        <v>0</v>
      </c>
      <c r="Z523" s="216">
        <v>143390</v>
      </c>
    </row>
    <row r="524" spans="2:26" ht="25.5" x14ac:dyDescent="0.2">
      <c r="B524" s="207" t="s">
        <v>47</v>
      </c>
      <c r="C524" s="117" t="s">
        <v>7</v>
      </c>
      <c r="D524" s="72" t="s">
        <v>135</v>
      </c>
      <c r="E524" s="72" t="s">
        <v>135</v>
      </c>
      <c r="F524" s="72" t="s">
        <v>135</v>
      </c>
      <c r="G524" s="72" t="s">
        <v>16</v>
      </c>
      <c r="H524" s="67" t="s">
        <v>135</v>
      </c>
      <c r="I524" s="214"/>
      <c r="J524" s="118">
        <f t="shared" ref="J524:X524" si="242">J527+J531+J525+J529</f>
        <v>742186</v>
      </c>
      <c r="K524" s="209">
        <f t="shared" si="242"/>
        <v>0</v>
      </c>
      <c r="L524" s="210">
        <f t="shared" si="242"/>
        <v>139100</v>
      </c>
      <c r="M524" s="210">
        <f t="shared" si="242"/>
        <v>0</v>
      </c>
      <c r="N524" s="210">
        <f t="shared" si="242"/>
        <v>139100</v>
      </c>
      <c r="O524" s="210">
        <f t="shared" si="242"/>
        <v>705623.6</v>
      </c>
      <c r="P524" s="210">
        <f t="shared" si="242"/>
        <v>0</v>
      </c>
      <c r="Q524" s="210">
        <f>Q527+Q531+Q525+Q529</f>
        <v>75000</v>
      </c>
      <c r="R524" s="210">
        <f>R527+R531+R525+R529</f>
        <v>214100</v>
      </c>
      <c r="S524" s="210">
        <f t="shared" si="242"/>
        <v>705623.6</v>
      </c>
      <c r="T524" s="211">
        <f t="shared" si="242"/>
        <v>705623.6</v>
      </c>
      <c r="U524" s="211">
        <f t="shared" si="242"/>
        <v>0</v>
      </c>
      <c r="V524" s="210">
        <f>V527+V531+V525+V529</f>
        <v>0</v>
      </c>
      <c r="W524" s="210">
        <f>W527+W531+W525+W529</f>
        <v>705623.6</v>
      </c>
      <c r="X524" s="211">
        <f t="shared" si="242"/>
        <v>705623.6</v>
      </c>
      <c r="Y524" s="118">
        <f>Y527+Y531+Y525+Y529</f>
        <v>0</v>
      </c>
      <c r="Z524" s="210">
        <f>Z527+Z531+Z525+Z529</f>
        <v>705623.6</v>
      </c>
    </row>
    <row r="525" spans="2:26" ht="51" x14ac:dyDescent="0.2">
      <c r="B525" s="212" t="s">
        <v>67</v>
      </c>
      <c r="C525" s="103" t="s">
        <v>7</v>
      </c>
      <c r="D525" s="66" t="s">
        <v>135</v>
      </c>
      <c r="E525" s="66" t="s">
        <v>135</v>
      </c>
      <c r="F525" s="66" t="s">
        <v>135</v>
      </c>
      <c r="G525" s="66" t="s">
        <v>16</v>
      </c>
      <c r="H525" s="67" t="s">
        <v>135</v>
      </c>
      <c r="I525" s="214" t="s">
        <v>60</v>
      </c>
      <c r="J525" s="118">
        <f t="shared" ref="J525:Z525" si="243">J526</f>
        <v>24000</v>
      </c>
      <c r="K525" s="209">
        <f t="shared" si="243"/>
        <v>0</v>
      </c>
      <c r="L525" s="216">
        <f t="shared" si="243"/>
        <v>0</v>
      </c>
      <c r="M525" s="216">
        <f t="shared" si="243"/>
        <v>0</v>
      </c>
      <c r="N525" s="216">
        <f t="shared" si="243"/>
        <v>0</v>
      </c>
      <c r="O525" s="216">
        <f t="shared" si="243"/>
        <v>24000</v>
      </c>
      <c r="P525" s="216">
        <f t="shared" si="243"/>
        <v>0</v>
      </c>
      <c r="Q525" s="216">
        <f t="shared" si="243"/>
        <v>0</v>
      </c>
      <c r="R525" s="216">
        <f t="shared" si="243"/>
        <v>0</v>
      </c>
      <c r="S525" s="216">
        <f t="shared" si="243"/>
        <v>24000</v>
      </c>
      <c r="T525" s="216">
        <f t="shared" si="243"/>
        <v>24000</v>
      </c>
      <c r="U525" s="216">
        <f t="shared" si="243"/>
        <v>0</v>
      </c>
      <c r="V525" s="216">
        <f t="shared" si="243"/>
        <v>0</v>
      </c>
      <c r="W525" s="216">
        <f t="shared" si="243"/>
        <v>24000</v>
      </c>
      <c r="X525" s="216">
        <f t="shared" si="243"/>
        <v>24000</v>
      </c>
      <c r="Y525" s="215">
        <f t="shared" si="243"/>
        <v>0</v>
      </c>
      <c r="Z525" s="216">
        <f t="shared" si="243"/>
        <v>24000</v>
      </c>
    </row>
    <row r="526" spans="2:26" ht="25.5" x14ac:dyDescent="0.2">
      <c r="B526" s="212" t="s">
        <v>61</v>
      </c>
      <c r="C526" s="103" t="s">
        <v>7</v>
      </c>
      <c r="D526" s="66" t="s">
        <v>135</v>
      </c>
      <c r="E526" s="66" t="s">
        <v>135</v>
      </c>
      <c r="F526" s="66" t="s">
        <v>135</v>
      </c>
      <c r="G526" s="66" t="s">
        <v>16</v>
      </c>
      <c r="H526" s="67" t="s">
        <v>135</v>
      </c>
      <c r="I526" s="214" t="s">
        <v>171</v>
      </c>
      <c r="J526" s="68">
        <v>24000</v>
      </c>
      <c r="K526" s="215">
        <v>0</v>
      </c>
      <c r="L526" s="216">
        <v>0</v>
      </c>
      <c r="M526" s="216">
        <v>0</v>
      </c>
      <c r="N526" s="216">
        <v>0</v>
      </c>
      <c r="O526" s="216">
        <v>24000</v>
      </c>
      <c r="P526" s="216">
        <v>0</v>
      </c>
      <c r="Q526" s="216">
        <v>0</v>
      </c>
      <c r="R526" s="216">
        <v>0</v>
      </c>
      <c r="S526" s="216">
        <v>24000</v>
      </c>
      <c r="T526" s="216">
        <v>24000</v>
      </c>
      <c r="U526" s="216">
        <v>0</v>
      </c>
      <c r="V526" s="216">
        <v>0</v>
      </c>
      <c r="W526" s="216">
        <v>24000</v>
      </c>
      <c r="X526" s="216">
        <v>24000</v>
      </c>
      <c r="Y526" s="215">
        <v>0</v>
      </c>
      <c r="Z526" s="216">
        <v>24000</v>
      </c>
    </row>
    <row r="527" spans="2:26" ht="25.5" x14ac:dyDescent="0.2">
      <c r="B527" s="212" t="s">
        <v>52</v>
      </c>
      <c r="C527" s="103" t="s">
        <v>7</v>
      </c>
      <c r="D527" s="66" t="s">
        <v>135</v>
      </c>
      <c r="E527" s="66" t="s">
        <v>135</v>
      </c>
      <c r="F527" s="66" t="s">
        <v>135</v>
      </c>
      <c r="G527" s="66" t="s">
        <v>16</v>
      </c>
      <c r="H527" s="67" t="s">
        <v>135</v>
      </c>
      <c r="I527" s="214">
        <v>200</v>
      </c>
      <c r="J527" s="68">
        <f t="shared" ref="J527:Z527" si="244">J528</f>
        <v>623186</v>
      </c>
      <c r="K527" s="215">
        <f t="shared" si="244"/>
        <v>0</v>
      </c>
      <c r="L527" s="216">
        <f t="shared" si="244"/>
        <v>139100</v>
      </c>
      <c r="M527" s="216">
        <f t="shared" si="244"/>
        <v>0</v>
      </c>
      <c r="N527" s="216">
        <f t="shared" si="244"/>
        <v>139100</v>
      </c>
      <c r="O527" s="216">
        <f t="shared" si="244"/>
        <v>546623.6</v>
      </c>
      <c r="P527" s="216">
        <f t="shared" si="244"/>
        <v>0</v>
      </c>
      <c r="Q527" s="216">
        <f t="shared" si="244"/>
        <v>0</v>
      </c>
      <c r="R527" s="216">
        <f t="shared" si="244"/>
        <v>139100</v>
      </c>
      <c r="S527" s="216">
        <f t="shared" si="244"/>
        <v>546623.6</v>
      </c>
      <c r="T527" s="216">
        <f t="shared" si="244"/>
        <v>546623.6</v>
      </c>
      <c r="U527" s="216">
        <f t="shared" si="244"/>
        <v>0</v>
      </c>
      <c r="V527" s="216">
        <f t="shared" si="244"/>
        <v>0</v>
      </c>
      <c r="W527" s="216">
        <f t="shared" si="244"/>
        <v>546623.6</v>
      </c>
      <c r="X527" s="216">
        <f t="shared" si="244"/>
        <v>546623.6</v>
      </c>
      <c r="Y527" s="215">
        <f t="shared" si="244"/>
        <v>0</v>
      </c>
      <c r="Z527" s="216">
        <f t="shared" si="244"/>
        <v>546623.6</v>
      </c>
    </row>
    <row r="528" spans="2:26" ht="25.5" x14ac:dyDescent="0.2">
      <c r="B528" s="362" t="s">
        <v>54</v>
      </c>
      <c r="C528" s="66" t="s">
        <v>7</v>
      </c>
      <c r="D528" s="66" t="s">
        <v>135</v>
      </c>
      <c r="E528" s="66" t="s">
        <v>135</v>
      </c>
      <c r="F528" s="66" t="s">
        <v>135</v>
      </c>
      <c r="G528" s="66" t="s">
        <v>16</v>
      </c>
      <c r="H528" s="67" t="s">
        <v>135</v>
      </c>
      <c r="I528" s="214">
        <v>240</v>
      </c>
      <c r="J528" s="68">
        <v>623186</v>
      </c>
      <c r="K528" s="215">
        <v>0</v>
      </c>
      <c r="L528" s="216">
        <v>139100</v>
      </c>
      <c r="M528" s="216">
        <v>0</v>
      </c>
      <c r="N528" s="216">
        <v>139100</v>
      </c>
      <c r="O528" s="216">
        <f>474683.6+71940</f>
        <v>546623.6</v>
      </c>
      <c r="P528" s="216">
        <v>0</v>
      </c>
      <c r="Q528" s="216">
        <v>0</v>
      </c>
      <c r="R528" s="216">
        <v>139100</v>
      </c>
      <c r="S528" s="216">
        <f>474683.6+71940</f>
        <v>546623.6</v>
      </c>
      <c r="T528" s="216">
        <f>474683.6+71940</f>
        <v>546623.6</v>
      </c>
      <c r="U528" s="216">
        <v>0</v>
      </c>
      <c r="V528" s="216">
        <v>0</v>
      </c>
      <c r="W528" s="216">
        <f>474683.6+71940</f>
        <v>546623.6</v>
      </c>
      <c r="X528" s="216">
        <f>474683.6+71940</f>
        <v>546623.6</v>
      </c>
      <c r="Y528" s="215">
        <v>0</v>
      </c>
      <c r="Z528" s="216">
        <f>474683.6+71940</f>
        <v>546623.6</v>
      </c>
    </row>
    <row r="529" spans="2:26" ht="25.5" x14ac:dyDescent="0.2">
      <c r="B529" s="511" t="s">
        <v>154</v>
      </c>
      <c r="C529" s="66" t="s">
        <v>7</v>
      </c>
      <c r="D529" s="66" t="s">
        <v>135</v>
      </c>
      <c r="E529" s="66" t="s">
        <v>135</v>
      </c>
      <c r="F529" s="66" t="s">
        <v>135</v>
      </c>
      <c r="G529" s="66" t="s">
        <v>16</v>
      </c>
      <c r="H529" s="67" t="s">
        <v>135</v>
      </c>
      <c r="I529" s="214" t="s">
        <v>57</v>
      </c>
      <c r="J529" s="68">
        <f t="shared" ref="J529:Z529" si="245">J530</f>
        <v>60000</v>
      </c>
      <c r="K529" s="215">
        <f t="shared" si="245"/>
        <v>0</v>
      </c>
      <c r="L529" s="216">
        <f t="shared" si="245"/>
        <v>0</v>
      </c>
      <c r="M529" s="216">
        <f t="shared" si="245"/>
        <v>0</v>
      </c>
      <c r="N529" s="216">
        <f t="shared" si="245"/>
        <v>0</v>
      </c>
      <c r="O529" s="216">
        <f t="shared" si="245"/>
        <v>60000</v>
      </c>
      <c r="P529" s="216">
        <f t="shared" si="245"/>
        <v>0</v>
      </c>
      <c r="Q529" s="216">
        <f t="shared" si="245"/>
        <v>0</v>
      </c>
      <c r="R529" s="216">
        <f t="shared" si="245"/>
        <v>0</v>
      </c>
      <c r="S529" s="216">
        <f t="shared" si="245"/>
        <v>60000</v>
      </c>
      <c r="T529" s="216">
        <f t="shared" si="245"/>
        <v>60000</v>
      </c>
      <c r="U529" s="216">
        <f t="shared" si="245"/>
        <v>0</v>
      </c>
      <c r="V529" s="216">
        <f t="shared" si="245"/>
        <v>0</v>
      </c>
      <c r="W529" s="216">
        <f t="shared" si="245"/>
        <v>60000</v>
      </c>
      <c r="X529" s="216">
        <f t="shared" si="245"/>
        <v>60000</v>
      </c>
      <c r="Y529" s="215">
        <f t="shared" si="245"/>
        <v>0</v>
      </c>
      <c r="Z529" s="216">
        <f t="shared" si="245"/>
        <v>60000</v>
      </c>
    </row>
    <row r="530" spans="2:26" x14ac:dyDescent="0.2">
      <c r="B530" s="362" t="s">
        <v>155</v>
      </c>
      <c r="C530" s="66" t="s">
        <v>7</v>
      </c>
      <c r="D530" s="66" t="s">
        <v>135</v>
      </c>
      <c r="E530" s="66" t="s">
        <v>135</v>
      </c>
      <c r="F530" s="66" t="s">
        <v>135</v>
      </c>
      <c r="G530" s="66" t="s">
        <v>16</v>
      </c>
      <c r="H530" s="67" t="s">
        <v>135</v>
      </c>
      <c r="I530" s="214" t="s">
        <v>153</v>
      </c>
      <c r="J530" s="68">
        <v>60000</v>
      </c>
      <c r="K530" s="215">
        <v>0</v>
      </c>
      <c r="L530" s="216">
        <v>0</v>
      </c>
      <c r="M530" s="216">
        <v>0</v>
      </c>
      <c r="N530" s="216">
        <v>0</v>
      </c>
      <c r="O530" s="216">
        <v>60000</v>
      </c>
      <c r="P530" s="216">
        <v>0</v>
      </c>
      <c r="Q530" s="216">
        <v>0</v>
      </c>
      <c r="R530" s="216">
        <v>0</v>
      </c>
      <c r="S530" s="216">
        <v>60000</v>
      </c>
      <c r="T530" s="216">
        <v>60000</v>
      </c>
      <c r="U530" s="216">
        <v>0</v>
      </c>
      <c r="V530" s="216">
        <v>0</v>
      </c>
      <c r="W530" s="216">
        <v>60000</v>
      </c>
      <c r="X530" s="216">
        <v>60000</v>
      </c>
      <c r="Y530" s="215">
        <v>0</v>
      </c>
      <c r="Z530" s="216">
        <v>60000</v>
      </c>
    </row>
    <row r="531" spans="2:26" x14ac:dyDescent="0.2">
      <c r="B531" s="362" t="s">
        <v>62</v>
      </c>
      <c r="C531" s="66" t="s">
        <v>7</v>
      </c>
      <c r="D531" s="66" t="s">
        <v>135</v>
      </c>
      <c r="E531" s="66" t="s">
        <v>135</v>
      </c>
      <c r="F531" s="66" t="s">
        <v>135</v>
      </c>
      <c r="G531" s="66" t="s">
        <v>16</v>
      </c>
      <c r="H531" s="67" t="s">
        <v>135</v>
      </c>
      <c r="I531" s="214" t="s">
        <v>63</v>
      </c>
      <c r="J531" s="68">
        <f t="shared" ref="J531:Z531" si="246">J532</f>
        <v>35000</v>
      </c>
      <c r="K531" s="215">
        <f t="shared" si="246"/>
        <v>0</v>
      </c>
      <c r="L531" s="216">
        <f t="shared" si="246"/>
        <v>0</v>
      </c>
      <c r="M531" s="216">
        <f t="shared" si="246"/>
        <v>0</v>
      </c>
      <c r="N531" s="216">
        <f t="shared" si="246"/>
        <v>0</v>
      </c>
      <c r="O531" s="216">
        <f t="shared" si="246"/>
        <v>75000</v>
      </c>
      <c r="P531" s="216">
        <f t="shared" si="246"/>
        <v>0</v>
      </c>
      <c r="Q531" s="216">
        <f t="shared" si="246"/>
        <v>75000</v>
      </c>
      <c r="R531" s="216">
        <f t="shared" si="246"/>
        <v>75000</v>
      </c>
      <c r="S531" s="216">
        <f t="shared" si="246"/>
        <v>75000</v>
      </c>
      <c r="T531" s="216">
        <f t="shared" si="246"/>
        <v>75000</v>
      </c>
      <c r="U531" s="216">
        <f t="shared" si="246"/>
        <v>0</v>
      </c>
      <c r="V531" s="216">
        <f t="shared" si="246"/>
        <v>0</v>
      </c>
      <c r="W531" s="216">
        <f t="shared" si="246"/>
        <v>75000</v>
      </c>
      <c r="X531" s="216">
        <f t="shared" si="246"/>
        <v>75000</v>
      </c>
      <c r="Y531" s="215">
        <f t="shared" si="246"/>
        <v>0</v>
      </c>
      <c r="Z531" s="216">
        <f t="shared" si="246"/>
        <v>75000</v>
      </c>
    </row>
    <row r="532" spans="2:26" x14ac:dyDescent="0.2">
      <c r="B532" s="362" t="s">
        <v>64</v>
      </c>
      <c r="C532" s="66" t="s">
        <v>7</v>
      </c>
      <c r="D532" s="66" t="s">
        <v>135</v>
      </c>
      <c r="E532" s="66" t="s">
        <v>135</v>
      </c>
      <c r="F532" s="66" t="s">
        <v>135</v>
      </c>
      <c r="G532" s="66" t="s">
        <v>16</v>
      </c>
      <c r="H532" s="67" t="s">
        <v>135</v>
      </c>
      <c r="I532" s="214" t="s">
        <v>65</v>
      </c>
      <c r="J532" s="68">
        <v>35000</v>
      </c>
      <c r="K532" s="215">
        <v>0</v>
      </c>
      <c r="L532" s="216">
        <v>0</v>
      </c>
      <c r="M532" s="216">
        <v>0</v>
      </c>
      <c r="N532" s="216">
        <v>0</v>
      </c>
      <c r="O532" s="216">
        <v>75000</v>
      </c>
      <c r="P532" s="216">
        <v>0</v>
      </c>
      <c r="Q532" s="216">
        <v>75000</v>
      </c>
      <c r="R532" s="216">
        <f>Q532</f>
        <v>75000</v>
      </c>
      <c r="S532" s="216">
        <v>75000</v>
      </c>
      <c r="T532" s="216">
        <v>75000</v>
      </c>
      <c r="U532" s="216">
        <v>0</v>
      </c>
      <c r="V532" s="216">
        <v>0</v>
      </c>
      <c r="W532" s="216">
        <v>75000</v>
      </c>
      <c r="X532" s="216">
        <v>75000</v>
      </c>
      <c r="Y532" s="215">
        <v>0</v>
      </c>
      <c r="Z532" s="216">
        <v>75000</v>
      </c>
    </row>
    <row r="533" spans="2:26" x14ac:dyDescent="0.2">
      <c r="B533" s="447" t="s">
        <v>435</v>
      </c>
      <c r="C533" s="103" t="s">
        <v>7</v>
      </c>
      <c r="D533" s="66" t="s">
        <v>135</v>
      </c>
      <c r="E533" s="66" t="s">
        <v>135</v>
      </c>
      <c r="F533" s="66" t="s">
        <v>135</v>
      </c>
      <c r="G533" s="66" t="s">
        <v>436</v>
      </c>
      <c r="H533" s="67" t="s">
        <v>135</v>
      </c>
      <c r="I533" s="214"/>
      <c r="J533" s="68"/>
      <c r="K533" s="69"/>
      <c r="L533" s="502">
        <f t="shared" ref="L533:Z534" si="247">L534</f>
        <v>40870</v>
      </c>
      <c r="M533" s="69">
        <f t="shared" si="247"/>
        <v>-14546</v>
      </c>
      <c r="N533" s="216">
        <f t="shared" si="247"/>
        <v>0</v>
      </c>
      <c r="O533" s="68">
        <f t="shared" si="247"/>
        <v>40870</v>
      </c>
      <c r="P533" s="69">
        <f t="shared" si="247"/>
        <v>0</v>
      </c>
      <c r="Q533" s="216">
        <f t="shared" si="247"/>
        <v>1788</v>
      </c>
      <c r="R533" s="216">
        <f t="shared" si="247"/>
        <v>1788</v>
      </c>
      <c r="S533" s="216">
        <f t="shared" si="247"/>
        <v>0</v>
      </c>
      <c r="T533" s="498">
        <f t="shared" si="247"/>
        <v>40870</v>
      </c>
      <c r="U533" s="215"/>
      <c r="V533" s="506">
        <f t="shared" si="247"/>
        <v>0</v>
      </c>
      <c r="W533" s="217">
        <f t="shared" si="247"/>
        <v>0</v>
      </c>
      <c r="X533" s="216">
        <f t="shared" si="247"/>
        <v>0</v>
      </c>
      <c r="Y533" s="215">
        <f t="shared" si="247"/>
        <v>0</v>
      </c>
      <c r="Z533" s="216">
        <f t="shared" si="247"/>
        <v>0</v>
      </c>
    </row>
    <row r="534" spans="2:26" x14ac:dyDescent="0.2">
      <c r="B534" s="34" t="s">
        <v>62</v>
      </c>
      <c r="C534" s="103" t="s">
        <v>7</v>
      </c>
      <c r="D534" s="66" t="s">
        <v>135</v>
      </c>
      <c r="E534" s="66" t="s">
        <v>135</v>
      </c>
      <c r="F534" s="66" t="s">
        <v>135</v>
      </c>
      <c r="G534" s="66" t="s">
        <v>436</v>
      </c>
      <c r="H534" s="67" t="s">
        <v>135</v>
      </c>
      <c r="I534" s="214" t="s">
        <v>63</v>
      </c>
      <c r="J534" s="68"/>
      <c r="K534" s="69"/>
      <c r="L534" s="502">
        <f t="shared" si="247"/>
        <v>40870</v>
      </c>
      <c r="M534" s="69">
        <f t="shared" si="247"/>
        <v>-14546</v>
      </c>
      <c r="N534" s="216">
        <f t="shared" si="247"/>
        <v>0</v>
      </c>
      <c r="O534" s="68">
        <f t="shared" si="247"/>
        <v>40870</v>
      </c>
      <c r="P534" s="69">
        <f t="shared" si="247"/>
        <v>0</v>
      </c>
      <c r="Q534" s="216">
        <f t="shared" si="247"/>
        <v>1788</v>
      </c>
      <c r="R534" s="216">
        <f t="shared" si="247"/>
        <v>1788</v>
      </c>
      <c r="S534" s="216">
        <f t="shared" si="247"/>
        <v>0</v>
      </c>
      <c r="T534" s="498">
        <f t="shared" si="247"/>
        <v>40870</v>
      </c>
      <c r="U534" s="215"/>
      <c r="V534" s="506">
        <f t="shared" si="247"/>
        <v>0</v>
      </c>
      <c r="W534" s="217">
        <f t="shared" si="247"/>
        <v>0</v>
      </c>
      <c r="X534" s="216">
        <f t="shared" si="247"/>
        <v>0</v>
      </c>
      <c r="Y534" s="215">
        <f t="shared" si="247"/>
        <v>0</v>
      </c>
      <c r="Z534" s="216">
        <f t="shared" si="247"/>
        <v>0</v>
      </c>
    </row>
    <row r="535" spans="2:26" x14ac:dyDescent="0.2">
      <c r="B535" s="34" t="s">
        <v>64</v>
      </c>
      <c r="C535" s="103" t="s">
        <v>7</v>
      </c>
      <c r="D535" s="66" t="s">
        <v>135</v>
      </c>
      <c r="E535" s="66" t="s">
        <v>135</v>
      </c>
      <c r="F535" s="66" t="s">
        <v>135</v>
      </c>
      <c r="G535" s="66" t="s">
        <v>436</v>
      </c>
      <c r="H535" s="67" t="s">
        <v>135</v>
      </c>
      <c r="I535" s="214" t="s">
        <v>65</v>
      </c>
      <c r="J535" s="68"/>
      <c r="K535" s="69"/>
      <c r="L535" s="502">
        <v>40870</v>
      </c>
      <c r="M535" s="69">
        <v>-14546</v>
      </c>
      <c r="N535" s="216">
        <v>0</v>
      </c>
      <c r="O535" s="68">
        <v>40870</v>
      </c>
      <c r="P535" s="69">
        <v>0</v>
      </c>
      <c r="Q535" s="216">
        <v>1788</v>
      </c>
      <c r="R535" s="216">
        <v>1788</v>
      </c>
      <c r="S535" s="216">
        <v>0</v>
      </c>
      <c r="T535" s="498">
        <v>40870</v>
      </c>
      <c r="U535" s="215"/>
      <c r="V535" s="506">
        <v>0</v>
      </c>
      <c r="W535" s="217">
        <v>0</v>
      </c>
      <c r="X535" s="216">
        <v>0</v>
      </c>
      <c r="Y535" s="215">
        <v>0</v>
      </c>
      <c r="Z535" s="216">
        <v>0</v>
      </c>
    </row>
    <row r="536" spans="2:26" x14ac:dyDescent="0.2">
      <c r="B536" s="363" t="s">
        <v>48</v>
      </c>
      <c r="C536" s="72" t="s">
        <v>7</v>
      </c>
      <c r="D536" s="72" t="s">
        <v>135</v>
      </c>
      <c r="E536" s="72" t="s">
        <v>135</v>
      </c>
      <c r="F536" s="72" t="s">
        <v>135</v>
      </c>
      <c r="G536" s="72" t="s">
        <v>8</v>
      </c>
      <c r="H536" s="67" t="s">
        <v>135</v>
      </c>
      <c r="I536" s="214"/>
      <c r="J536" s="118">
        <f t="shared" ref="J536:Y537" si="248">J537</f>
        <v>240000</v>
      </c>
      <c r="K536" s="209">
        <f t="shared" si="248"/>
        <v>0</v>
      </c>
      <c r="L536" s="210">
        <f t="shared" si="248"/>
        <v>0</v>
      </c>
      <c r="M536" s="210">
        <f t="shared" si="248"/>
        <v>0</v>
      </c>
      <c r="N536" s="210">
        <f t="shared" si="248"/>
        <v>0</v>
      </c>
      <c r="O536" s="210">
        <f t="shared" si="248"/>
        <v>440000</v>
      </c>
      <c r="P536" s="210">
        <f t="shared" si="248"/>
        <v>0</v>
      </c>
      <c r="Q536" s="210">
        <f t="shared" si="248"/>
        <v>118800</v>
      </c>
      <c r="R536" s="210">
        <f t="shared" si="248"/>
        <v>118800</v>
      </c>
      <c r="S536" s="210">
        <f t="shared" si="248"/>
        <v>440000</v>
      </c>
      <c r="T536" s="211">
        <f t="shared" si="248"/>
        <v>440000</v>
      </c>
      <c r="U536" s="211">
        <f t="shared" si="248"/>
        <v>0</v>
      </c>
      <c r="V536" s="210">
        <f t="shared" si="248"/>
        <v>0</v>
      </c>
      <c r="W536" s="210">
        <f t="shared" si="248"/>
        <v>440000</v>
      </c>
      <c r="X536" s="211">
        <f t="shared" si="248"/>
        <v>440000</v>
      </c>
      <c r="Y536" s="118">
        <f t="shared" si="248"/>
        <v>0</v>
      </c>
      <c r="Z536" s="210">
        <f>Z537</f>
        <v>440000</v>
      </c>
    </row>
    <row r="537" spans="2:26" ht="25.5" x14ac:dyDescent="0.2">
      <c r="B537" s="362" t="s">
        <v>52</v>
      </c>
      <c r="C537" s="72" t="s">
        <v>7</v>
      </c>
      <c r="D537" s="72" t="s">
        <v>135</v>
      </c>
      <c r="E537" s="72" t="s">
        <v>135</v>
      </c>
      <c r="F537" s="72" t="s">
        <v>135</v>
      </c>
      <c r="G537" s="72" t="s">
        <v>8</v>
      </c>
      <c r="H537" s="67" t="s">
        <v>135</v>
      </c>
      <c r="I537" s="214">
        <v>200</v>
      </c>
      <c r="J537" s="118">
        <f t="shared" si="248"/>
        <v>240000</v>
      </c>
      <c r="K537" s="209">
        <f t="shared" si="248"/>
        <v>0</v>
      </c>
      <c r="L537" s="210">
        <f t="shared" si="248"/>
        <v>0</v>
      </c>
      <c r="M537" s="210">
        <f t="shared" si="248"/>
        <v>0</v>
      </c>
      <c r="N537" s="210">
        <f t="shared" si="248"/>
        <v>0</v>
      </c>
      <c r="O537" s="210">
        <f t="shared" si="248"/>
        <v>440000</v>
      </c>
      <c r="P537" s="210">
        <f t="shared" si="248"/>
        <v>0</v>
      </c>
      <c r="Q537" s="210">
        <f t="shared" si="248"/>
        <v>118800</v>
      </c>
      <c r="R537" s="210">
        <f t="shared" si="248"/>
        <v>118800</v>
      </c>
      <c r="S537" s="210">
        <f t="shared" si="248"/>
        <v>440000</v>
      </c>
      <c r="T537" s="211">
        <f t="shared" si="248"/>
        <v>440000</v>
      </c>
      <c r="U537" s="211">
        <f t="shared" si="248"/>
        <v>0</v>
      </c>
      <c r="V537" s="210">
        <f t="shared" si="248"/>
        <v>0</v>
      </c>
      <c r="W537" s="210">
        <f t="shared" si="248"/>
        <v>440000</v>
      </c>
      <c r="X537" s="211">
        <f t="shared" si="248"/>
        <v>440000</v>
      </c>
      <c r="Y537" s="118">
        <f>Y538</f>
        <v>0</v>
      </c>
      <c r="Z537" s="210">
        <f>Z538</f>
        <v>440000</v>
      </c>
    </row>
    <row r="538" spans="2:26" ht="25.5" x14ac:dyDescent="0.2">
      <c r="B538" s="362" t="s">
        <v>54</v>
      </c>
      <c r="C538" s="72" t="s">
        <v>7</v>
      </c>
      <c r="D538" s="72" t="s">
        <v>135</v>
      </c>
      <c r="E538" s="72" t="s">
        <v>135</v>
      </c>
      <c r="F538" s="72" t="s">
        <v>135</v>
      </c>
      <c r="G538" s="72" t="s">
        <v>8</v>
      </c>
      <c r="H538" s="67" t="s">
        <v>135</v>
      </c>
      <c r="I538" s="214">
        <v>240</v>
      </c>
      <c r="J538" s="118">
        <f>120000+120000</f>
        <v>240000</v>
      </c>
      <c r="K538" s="209">
        <v>0</v>
      </c>
      <c r="L538" s="210">
        <v>0</v>
      </c>
      <c r="M538" s="210">
        <v>0</v>
      </c>
      <c r="N538" s="210">
        <v>0</v>
      </c>
      <c r="O538" s="210">
        <v>440000</v>
      </c>
      <c r="P538" s="210">
        <v>0</v>
      </c>
      <c r="Q538" s="210">
        <v>118800</v>
      </c>
      <c r="R538" s="210">
        <f>Q538</f>
        <v>118800</v>
      </c>
      <c r="S538" s="210">
        <v>440000</v>
      </c>
      <c r="T538" s="211">
        <v>440000</v>
      </c>
      <c r="U538" s="211">
        <v>0</v>
      </c>
      <c r="V538" s="210">
        <v>0</v>
      </c>
      <c r="W538" s="210">
        <v>440000</v>
      </c>
      <c r="X538" s="211">
        <v>440000</v>
      </c>
      <c r="Y538" s="118">
        <v>0</v>
      </c>
      <c r="Z538" s="210">
        <v>440000</v>
      </c>
    </row>
    <row r="539" spans="2:26" ht="25.5" x14ac:dyDescent="0.2">
      <c r="B539" s="363" t="s">
        <v>204</v>
      </c>
      <c r="C539" s="66" t="s">
        <v>7</v>
      </c>
      <c r="D539" s="66" t="s">
        <v>135</v>
      </c>
      <c r="E539" s="66" t="s">
        <v>135</v>
      </c>
      <c r="F539" s="66" t="s">
        <v>135</v>
      </c>
      <c r="G539" s="66" t="s">
        <v>203</v>
      </c>
      <c r="H539" s="67" t="s">
        <v>135</v>
      </c>
      <c r="I539" s="309"/>
      <c r="J539" s="68">
        <f t="shared" ref="J539:Z540" si="249">J540</f>
        <v>180000</v>
      </c>
      <c r="K539" s="69">
        <f t="shared" si="249"/>
        <v>0</v>
      </c>
      <c r="L539" s="216">
        <f t="shared" si="249"/>
        <v>0</v>
      </c>
      <c r="M539" s="216">
        <f t="shared" si="249"/>
        <v>0</v>
      </c>
      <c r="N539" s="216">
        <f>N540+N542</f>
        <v>193972.75999999998</v>
      </c>
      <c r="O539" s="216">
        <f t="shared" ref="O539:Z539" si="250">O540+O542</f>
        <v>0</v>
      </c>
      <c r="P539" s="216">
        <f t="shared" si="250"/>
        <v>0</v>
      </c>
      <c r="Q539" s="216">
        <f t="shared" si="250"/>
        <v>22013.040000000005</v>
      </c>
      <c r="R539" s="216">
        <f t="shared" si="250"/>
        <v>215985.8</v>
      </c>
      <c r="S539" s="216">
        <f t="shared" si="250"/>
        <v>0</v>
      </c>
      <c r="T539" s="216">
        <f t="shared" si="250"/>
        <v>0</v>
      </c>
      <c r="U539" s="216">
        <f t="shared" si="250"/>
        <v>0</v>
      </c>
      <c r="V539" s="216">
        <f t="shared" si="250"/>
        <v>0</v>
      </c>
      <c r="W539" s="216">
        <f t="shared" si="250"/>
        <v>0</v>
      </c>
      <c r="X539" s="216">
        <f t="shared" si="250"/>
        <v>0</v>
      </c>
      <c r="Y539" s="215">
        <f t="shared" si="250"/>
        <v>0</v>
      </c>
      <c r="Z539" s="216">
        <f t="shared" si="250"/>
        <v>0</v>
      </c>
    </row>
    <row r="540" spans="2:26" ht="25.5" x14ac:dyDescent="0.2">
      <c r="B540" s="362" t="s">
        <v>52</v>
      </c>
      <c r="C540" s="66" t="s">
        <v>7</v>
      </c>
      <c r="D540" s="66" t="s">
        <v>135</v>
      </c>
      <c r="E540" s="66" t="s">
        <v>135</v>
      </c>
      <c r="F540" s="66" t="s">
        <v>135</v>
      </c>
      <c r="G540" s="66" t="s">
        <v>203</v>
      </c>
      <c r="H540" s="67" t="s">
        <v>135</v>
      </c>
      <c r="I540" s="309">
        <v>200</v>
      </c>
      <c r="J540" s="68">
        <f t="shared" si="249"/>
        <v>180000</v>
      </c>
      <c r="K540" s="69">
        <f t="shared" si="249"/>
        <v>0</v>
      </c>
      <c r="L540" s="216">
        <f t="shared" si="249"/>
        <v>0</v>
      </c>
      <c r="M540" s="216">
        <f t="shared" si="249"/>
        <v>0</v>
      </c>
      <c r="N540" s="216">
        <f t="shared" si="249"/>
        <v>11609.46</v>
      </c>
      <c r="O540" s="216">
        <f t="shared" si="249"/>
        <v>0</v>
      </c>
      <c r="P540" s="216">
        <f t="shared" si="249"/>
        <v>0</v>
      </c>
      <c r="Q540" s="216">
        <f t="shared" si="249"/>
        <v>782.74</v>
      </c>
      <c r="R540" s="216">
        <f t="shared" si="249"/>
        <v>12392.199999999999</v>
      </c>
      <c r="S540" s="216">
        <f t="shared" si="249"/>
        <v>0</v>
      </c>
      <c r="T540" s="216">
        <f t="shared" si="249"/>
        <v>0</v>
      </c>
      <c r="U540" s="216">
        <f t="shared" si="249"/>
        <v>0</v>
      </c>
      <c r="V540" s="216">
        <f t="shared" si="249"/>
        <v>0</v>
      </c>
      <c r="W540" s="216">
        <f t="shared" si="249"/>
        <v>0</v>
      </c>
      <c r="X540" s="216">
        <f t="shared" si="249"/>
        <v>0</v>
      </c>
      <c r="Y540" s="215">
        <f t="shared" si="249"/>
        <v>0</v>
      </c>
      <c r="Z540" s="216">
        <f t="shared" si="249"/>
        <v>0</v>
      </c>
    </row>
    <row r="541" spans="2:26" ht="25.5" x14ac:dyDescent="0.2">
      <c r="B541" s="362" t="s">
        <v>54</v>
      </c>
      <c r="C541" s="66" t="s">
        <v>7</v>
      </c>
      <c r="D541" s="66" t="s">
        <v>135</v>
      </c>
      <c r="E541" s="66" t="s">
        <v>135</v>
      </c>
      <c r="F541" s="66" t="s">
        <v>135</v>
      </c>
      <c r="G541" s="66" t="s">
        <v>203</v>
      </c>
      <c r="H541" s="67" t="s">
        <v>135</v>
      </c>
      <c r="I541" s="309">
        <v>240</v>
      </c>
      <c r="J541" s="68">
        <v>180000</v>
      </c>
      <c r="K541" s="69">
        <v>0</v>
      </c>
      <c r="L541" s="216">
        <v>0</v>
      </c>
      <c r="M541" s="216">
        <v>0</v>
      </c>
      <c r="N541" s="216">
        <v>11609.46</v>
      </c>
      <c r="O541" s="216">
        <v>0</v>
      </c>
      <c r="P541" s="216">
        <v>0</v>
      </c>
      <c r="Q541" s="216">
        <v>782.74</v>
      </c>
      <c r="R541" s="216">
        <f>Q541+N541</f>
        <v>12392.199999999999</v>
      </c>
      <c r="S541" s="216">
        <v>0</v>
      </c>
      <c r="T541" s="216">
        <v>0</v>
      </c>
      <c r="U541" s="216">
        <v>0</v>
      </c>
      <c r="V541" s="216">
        <v>0</v>
      </c>
      <c r="W541" s="216">
        <v>0</v>
      </c>
      <c r="X541" s="216">
        <v>0</v>
      </c>
      <c r="Y541" s="215">
        <v>0</v>
      </c>
      <c r="Z541" s="216">
        <v>0</v>
      </c>
    </row>
    <row r="542" spans="2:26" x14ac:dyDescent="0.2">
      <c r="B542" s="362" t="s">
        <v>62</v>
      </c>
      <c r="C542" s="66" t="s">
        <v>7</v>
      </c>
      <c r="D542" s="66" t="s">
        <v>135</v>
      </c>
      <c r="E542" s="66" t="s">
        <v>135</v>
      </c>
      <c r="F542" s="66" t="s">
        <v>135</v>
      </c>
      <c r="G542" s="66" t="s">
        <v>203</v>
      </c>
      <c r="H542" s="67" t="s">
        <v>135</v>
      </c>
      <c r="I542" s="309" t="s">
        <v>63</v>
      </c>
      <c r="J542" s="68"/>
      <c r="K542" s="69"/>
      <c r="L542" s="216"/>
      <c r="M542" s="216"/>
      <c r="N542" s="216">
        <f>N543</f>
        <v>182363.3</v>
      </c>
      <c r="O542" s="216">
        <f t="shared" ref="O542:Z542" si="251">O543</f>
        <v>0</v>
      </c>
      <c r="P542" s="216">
        <f t="shared" si="251"/>
        <v>0</v>
      </c>
      <c r="Q542" s="216">
        <f t="shared" si="251"/>
        <v>21230.300000000003</v>
      </c>
      <c r="R542" s="216">
        <f t="shared" si="251"/>
        <v>203593.59999999998</v>
      </c>
      <c r="S542" s="216">
        <f t="shared" si="251"/>
        <v>0</v>
      </c>
      <c r="T542" s="216">
        <f t="shared" si="251"/>
        <v>0</v>
      </c>
      <c r="U542" s="216">
        <f t="shared" si="251"/>
        <v>0</v>
      </c>
      <c r="V542" s="216">
        <f t="shared" si="251"/>
        <v>0</v>
      </c>
      <c r="W542" s="216">
        <f t="shared" si="251"/>
        <v>0</v>
      </c>
      <c r="X542" s="216">
        <f t="shared" si="251"/>
        <v>0</v>
      </c>
      <c r="Y542" s="215">
        <f t="shared" si="251"/>
        <v>0</v>
      </c>
      <c r="Z542" s="216">
        <f t="shared" si="251"/>
        <v>0</v>
      </c>
    </row>
    <row r="543" spans="2:26" x14ac:dyDescent="0.2">
      <c r="B543" s="362" t="s">
        <v>174</v>
      </c>
      <c r="C543" s="66" t="s">
        <v>7</v>
      </c>
      <c r="D543" s="66" t="s">
        <v>135</v>
      </c>
      <c r="E543" s="66" t="s">
        <v>135</v>
      </c>
      <c r="F543" s="66" t="s">
        <v>135</v>
      </c>
      <c r="G543" s="66" t="s">
        <v>203</v>
      </c>
      <c r="H543" s="67" t="s">
        <v>135</v>
      </c>
      <c r="I543" s="309" t="s">
        <v>173</v>
      </c>
      <c r="J543" s="68"/>
      <c r="K543" s="69"/>
      <c r="L543" s="216"/>
      <c r="M543" s="216"/>
      <c r="N543" s="216">
        <v>182363.3</v>
      </c>
      <c r="O543" s="216">
        <v>0</v>
      </c>
      <c r="P543" s="216">
        <v>0</v>
      </c>
      <c r="Q543" s="216">
        <f>7842.18+13388.12</f>
        <v>21230.300000000003</v>
      </c>
      <c r="R543" s="216">
        <f>Q543+N543</f>
        <v>203593.59999999998</v>
      </c>
      <c r="S543" s="216">
        <v>0</v>
      </c>
      <c r="T543" s="216">
        <v>0</v>
      </c>
      <c r="U543" s="216">
        <v>0</v>
      </c>
      <c r="V543" s="216">
        <v>0</v>
      </c>
      <c r="W543" s="216">
        <v>0</v>
      </c>
      <c r="X543" s="216">
        <v>0</v>
      </c>
      <c r="Y543" s="215">
        <v>0</v>
      </c>
      <c r="Z543" s="216">
        <v>0</v>
      </c>
    </row>
    <row r="544" spans="2:26" ht="25.5" x14ac:dyDescent="0.2">
      <c r="B544" s="363" t="s">
        <v>437</v>
      </c>
      <c r="C544" s="66" t="s">
        <v>7</v>
      </c>
      <c r="D544" s="66" t="s">
        <v>135</v>
      </c>
      <c r="E544" s="66" t="s">
        <v>135</v>
      </c>
      <c r="F544" s="66" t="s">
        <v>135</v>
      </c>
      <c r="G544" s="66" t="s">
        <v>427</v>
      </c>
      <c r="H544" s="67" t="s">
        <v>135</v>
      </c>
      <c r="I544" s="309"/>
      <c r="J544" s="68"/>
      <c r="K544" s="69"/>
      <c r="L544" s="216"/>
      <c r="M544" s="216"/>
      <c r="N544" s="216">
        <f>N547+N545+N549</f>
        <v>581100.64</v>
      </c>
      <c r="O544" s="216">
        <f t="shared" ref="O544:R544" si="252">O547+O545+O549</f>
        <v>0</v>
      </c>
      <c r="P544" s="216">
        <f t="shared" si="252"/>
        <v>0</v>
      </c>
      <c r="Q544" s="216">
        <f t="shared" si="252"/>
        <v>-14170.859999999988</v>
      </c>
      <c r="R544" s="216">
        <f t="shared" si="252"/>
        <v>566929.77999999991</v>
      </c>
      <c r="S544" s="216">
        <v>0</v>
      </c>
      <c r="T544" s="216">
        <f t="shared" ref="T544:U544" si="253">T547+T554</f>
        <v>0</v>
      </c>
      <c r="U544" s="216">
        <f t="shared" si="253"/>
        <v>0</v>
      </c>
      <c r="V544" s="216">
        <v>0</v>
      </c>
      <c r="W544" s="216">
        <v>0</v>
      </c>
      <c r="X544" s="216">
        <v>0</v>
      </c>
      <c r="Y544" s="215">
        <v>0</v>
      </c>
      <c r="Z544" s="216">
        <v>0</v>
      </c>
    </row>
    <row r="545" spans="2:26" ht="51" x14ac:dyDescent="0.2">
      <c r="B545" s="362" t="s">
        <v>67</v>
      </c>
      <c r="C545" s="66" t="s">
        <v>7</v>
      </c>
      <c r="D545" s="66" t="s">
        <v>135</v>
      </c>
      <c r="E545" s="66" t="s">
        <v>135</v>
      </c>
      <c r="F545" s="66" t="s">
        <v>135</v>
      </c>
      <c r="G545" s="66" t="s">
        <v>427</v>
      </c>
      <c r="H545" s="67" t="s">
        <v>135</v>
      </c>
      <c r="I545" s="309" t="s">
        <v>60</v>
      </c>
      <c r="J545" s="68"/>
      <c r="K545" s="69"/>
      <c r="L545" s="216"/>
      <c r="M545" s="216"/>
      <c r="N545" s="216">
        <f>N546</f>
        <v>0</v>
      </c>
      <c r="O545" s="216"/>
      <c r="P545" s="216"/>
      <c r="Q545" s="216">
        <f>Q546</f>
        <v>116993.71</v>
      </c>
      <c r="R545" s="216">
        <f>R546</f>
        <v>116993.71</v>
      </c>
      <c r="S545" s="216">
        <f>S546</f>
        <v>0</v>
      </c>
      <c r="T545" s="216"/>
      <c r="U545" s="216"/>
      <c r="V545" s="216">
        <f t="shared" ref="V545:Z545" si="254">V546</f>
        <v>0</v>
      </c>
      <c r="W545" s="216">
        <f t="shared" si="254"/>
        <v>0</v>
      </c>
      <c r="X545" s="216">
        <f t="shared" si="254"/>
        <v>0</v>
      </c>
      <c r="Y545" s="215">
        <f t="shared" si="254"/>
        <v>0</v>
      </c>
      <c r="Z545" s="216">
        <f t="shared" si="254"/>
        <v>0</v>
      </c>
    </row>
    <row r="546" spans="2:26" ht="25.5" x14ac:dyDescent="0.2">
      <c r="B546" s="362" t="s">
        <v>61</v>
      </c>
      <c r="C546" s="66" t="s">
        <v>7</v>
      </c>
      <c r="D546" s="66" t="s">
        <v>135</v>
      </c>
      <c r="E546" s="66" t="s">
        <v>135</v>
      </c>
      <c r="F546" s="66" t="s">
        <v>135</v>
      </c>
      <c r="G546" s="66" t="s">
        <v>427</v>
      </c>
      <c r="H546" s="67" t="s">
        <v>135</v>
      </c>
      <c r="I546" s="309" t="s">
        <v>171</v>
      </c>
      <c r="J546" s="68"/>
      <c r="K546" s="69"/>
      <c r="L546" s="216"/>
      <c r="M546" s="216"/>
      <c r="N546" s="216">
        <v>0</v>
      </c>
      <c r="O546" s="216"/>
      <c r="P546" s="216"/>
      <c r="Q546" s="216">
        <v>116993.71</v>
      </c>
      <c r="R546" s="216">
        <f>Q546</f>
        <v>116993.71</v>
      </c>
      <c r="S546" s="216">
        <v>0</v>
      </c>
      <c r="T546" s="216"/>
      <c r="U546" s="216"/>
      <c r="V546" s="216">
        <v>0</v>
      </c>
      <c r="W546" s="216">
        <v>0</v>
      </c>
      <c r="X546" s="216">
        <v>0</v>
      </c>
      <c r="Y546" s="215">
        <v>0</v>
      </c>
      <c r="Z546" s="216">
        <v>0</v>
      </c>
    </row>
    <row r="547" spans="2:26" ht="25.5" x14ac:dyDescent="0.2">
      <c r="B547" s="362" t="s">
        <v>52</v>
      </c>
      <c r="C547" s="66" t="s">
        <v>7</v>
      </c>
      <c r="D547" s="66" t="s">
        <v>135</v>
      </c>
      <c r="E547" s="66" t="s">
        <v>135</v>
      </c>
      <c r="F547" s="66" t="s">
        <v>135</v>
      </c>
      <c r="G547" s="66" t="s">
        <v>427</v>
      </c>
      <c r="H547" s="67" t="s">
        <v>135</v>
      </c>
      <c r="I547" s="309">
        <v>200</v>
      </c>
      <c r="J547" s="68"/>
      <c r="K547" s="69"/>
      <c r="L547" s="216"/>
      <c r="M547" s="216"/>
      <c r="N547" s="216">
        <f t="shared" ref="N547:Z547" si="255">N548</f>
        <v>581100.64</v>
      </c>
      <c r="O547" s="216">
        <f t="shared" si="255"/>
        <v>0</v>
      </c>
      <c r="P547" s="216">
        <f t="shared" si="255"/>
        <v>0</v>
      </c>
      <c r="Q547" s="216">
        <f t="shared" si="255"/>
        <v>-138374.15</v>
      </c>
      <c r="R547" s="216">
        <f t="shared" si="255"/>
        <v>442726.49</v>
      </c>
      <c r="S547" s="216">
        <f t="shared" si="255"/>
        <v>0</v>
      </c>
      <c r="T547" s="216">
        <f t="shared" si="255"/>
        <v>0</v>
      </c>
      <c r="U547" s="216">
        <f t="shared" si="255"/>
        <v>0</v>
      </c>
      <c r="V547" s="216">
        <f t="shared" si="255"/>
        <v>0</v>
      </c>
      <c r="W547" s="216">
        <f t="shared" si="255"/>
        <v>0</v>
      </c>
      <c r="X547" s="216">
        <f t="shared" si="255"/>
        <v>0</v>
      </c>
      <c r="Y547" s="215">
        <f t="shared" si="255"/>
        <v>0</v>
      </c>
      <c r="Z547" s="216">
        <f t="shared" si="255"/>
        <v>0</v>
      </c>
    </row>
    <row r="548" spans="2:26" ht="25.5" x14ac:dyDescent="0.2">
      <c r="B548" s="362" t="s">
        <v>54</v>
      </c>
      <c r="C548" s="66" t="s">
        <v>7</v>
      </c>
      <c r="D548" s="66" t="s">
        <v>135</v>
      </c>
      <c r="E548" s="66" t="s">
        <v>135</v>
      </c>
      <c r="F548" s="66" t="s">
        <v>135</v>
      </c>
      <c r="G548" s="66" t="s">
        <v>427</v>
      </c>
      <c r="H548" s="67" t="s">
        <v>135</v>
      </c>
      <c r="I548" s="309">
        <v>240</v>
      </c>
      <c r="J548" s="68"/>
      <c r="K548" s="69"/>
      <c r="L548" s="216"/>
      <c r="M548" s="216"/>
      <c r="N548" s="216">
        <v>581100.64</v>
      </c>
      <c r="O548" s="216">
        <v>0</v>
      </c>
      <c r="P548" s="216">
        <v>0</v>
      </c>
      <c r="Q548" s="216">
        <f>-123752.01-451.28-14170.86</f>
        <v>-138374.15</v>
      </c>
      <c r="R548" s="216">
        <f>Q548+N548</f>
        <v>442726.49</v>
      </c>
      <c r="S548" s="216">
        <v>0</v>
      </c>
      <c r="T548" s="216">
        <v>0</v>
      </c>
      <c r="U548" s="216">
        <v>0</v>
      </c>
      <c r="V548" s="216">
        <v>0</v>
      </c>
      <c r="W548" s="216">
        <v>0</v>
      </c>
      <c r="X548" s="216">
        <v>0</v>
      </c>
      <c r="Y548" s="215">
        <v>0</v>
      </c>
      <c r="Z548" s="216">
        <v>0</v>
      </c>
    </row>
    <row r="549" spans="2:26" x14ac:dyDescent="0.2">
      <c r="B549" s="500" t="s">
        <v>62</v>
      </c>
      <c r="C549" s="66" t="s">
        <v>7</v>
      </c>
      <c r="D549" s="66" t="s">
        <v>135</v>
      </c>
      <c r="E549" s="66" t="s">
        <v>135</v>
      </c>
      <c r="F549" s="66" t="s">
        <v>135</v>
      </c>
      <c r="G549" s="66" t="s">
        <v>427</v>
      </c>
      <c r="H549" s="67" t="s">
        <v>135</v>
      </c>
      <c r="I549" s="309" t="s">
        <v>63</v>
      </c>
      <c r="J549" s="68"/>
      <c r="K549" s="69"/>
      <c r="L549" s="216"/>
      <c r="M549" s="216"/>
      <c r="N549" s="216">
        <f>N550</f>
        <v>0</v>
      </c>
      <c r="O549" s="68"/>
      <c r="P549" s="216"/>
      <c r="Q549" s="216">
        <f>Q550</f>
        <v>7209.58</v>
      </c>
      <c r="R549" s="216">
        <f>R550</f>
        <v>7209.58</v>
      </c>
      <c r="S549" s="68">
        <f>S550</f>
        <v>0</v>
      </c>
      <c r="T549" s="216"/>
      <c r="U549" s="215"/>
      <c r="V549" s="68">
        <f t="shared" ref="V549:Z549" si="256">V550</f>
        <v>0</v>
      </c>
      <c r="W549" s="68">
        <f t="shared" si="256"/>
        <v>0</v>
      </c>
      <c r="X549" s="68">
        <f t="shared" si="256"/>
        <v>0</v>
      </c>
      <c r="Y549" s="68">
        <f t="shared" si="256"/>
        <v>0</v>
      </c>
      <c r="Z549" s="216">
        <f t="shared" si="256"/>
        <v>0</v>
      </c>
    </row>
    <row r="550" spans="2:26" x14ac:dyDescent="0.2">
      <c r="B550" s="500" t="s">
        <v>64</v>
      </c>
      <c r="C550" s="66" t="s">
        <v>7</v>
      </c>
      <c r="D550" s="66" t="s">
        <v>135</v>
      </c>
      <c r="E550" s="66" t="s">
        <v>135</v>
      </c>
      <c r="F550" s="66" t="s">
        <v>135</v>
      </c>
      <c r="G550" s="66" t="s">
        <v>427</v>
      </c>
      <c r="H550" s="67" t="s">
        <v>135</v>
      </c>
      <c r="I550" s="309" t="s">
        <v>65</v>
      </c>
      <c r="J550" s="68"/>
      <c r="K550" s="69"/>
      <c r="L550" s="216"/>
      <c r="M550" s="216"/>
      <c r="N550" s="216">
        <v>0</v>
      </c>
      <c r="O550" s="68"/>
      <c r="P550" s="216"/>
      <c r="Q550" s="216">
        <f>6758.3+451.28</f>
        <v>7209.58</v>
      </c>
      <c r="R550" s="216">
        <f>Q550</f>
        <v>7209.58</v>
      </c>
      <c r="S550" s="68">
        <v>0</v>
      </c>
      <c r="T550" s="216"/>
      <c r="U550" s="215"/>
      <c r="V550" s="68">
        <v>0</v>
      </c>
      <c r="W550" s="68">
        <v>0</v>
      </c>
      <c r="X550" s="68">
        <v>0</v>
      </c>
      <c r="Y550" s="68">
        <v>0</v>
      </c>
      <c r="Z550" s="216">
        <v>0</v>
      </c>
    </row>
    <row r="551" spans="2:26" x14ac:dyDescent="0.2">
      <c r="B551" s="501" t="s">
        <v>462</v>
      </c>
      <c r="C551" s="66" t="s">
        <v>7</v>
      </c>
      <c r="D551" s="66" t="s">
        <v>135</v>
      </c>
      <c r="E551" s="66" t="s">
        <v>135</v>
      </c>
      <c r="F551" s="66" t="s">
        <v>135</v>
      </c>
      <c r="G551" s="66" t="s">
        <v>459</v>
      </c>
      <c r="H551" s="67" t="s">
        <v>135</v>
      </c>
      <c r="I551" s="309"/>
      <c r="J551" s="68"/>
      <c r="K551" s="69"/>
      <c r="L551" s="216"/>
      <c r="M551" s="216"/>
      <c r="N551" s="216">
        <f>N552</f>
        <v>0</v>
      </c>
      <c r="O551" s="215"/>
      <c r="P551" s="216"/>
      <c r="Q551" s="216">
        <f t="shared" ref="Q551:S552" si="257">Q552</f>
        <v>1966931.62</v>
      </c>
      <c r="R551" s="216">
        <f t="shared" si="257"/>
        <v>1966931.62</v>
      </c>
      <c r="S551" s="216">
        <f t="shared" si="257"/>
        <v>0</v>
      </c>
      <c r="T551" s="216"/>
      <c r="U551" s="215"/>
      <c r="V551" s="216">
        <f t="shared" ref="V551:Z552" si="258">V552</f>
        <v>4864313.37</v>
      </c>
      <c r="W551" s="216">
        <f t="shared" si="258"/>
        <v>4864313.37</v>
      </c>
      <c r="X551" s="216">
        <f t="shared" si="258"/>
        <v>0</v>
      </c>
      <c r="Y551" s="215">
        <f t="shared" si="258"/>
        <v>2974717.87</v>
      </c>
      <c r="Z551" s="216">
        <f t="shared" si="258"/>
        <v>2974717.87</v>
      </c>
    </row>
    <row r="552" spans="2:26" x14ac:dyDescent="0.2">
      <c r="B552" s="501" t="s">
        <v>463</v>
      </c>
      <c r="C552" s="103" t="s">
        <v>7</v>
      </c>
      <c r="D552" s="66" t="s">
        <v>135</v>
      </c>
      <c r="E552" s="66" t="s">
        <v>135</v>
      </c>
      <c r="F552" s="66" t="s">
        <v>135</v>
      </c>
      <c r="G552" s="66" t="s">
        <v>459</v>
      </c>
      <c r="H552" s="67" t="s">
        <v>135</v>
      </c>
      <c r="I552" s="309" t="s">
        <v>457</v>
      </c>
      <c r="J552" s="68"/>
      <c r="K552" s="69"/>
      <c r="L552" s="216"/>
      <c r="M552" s="216"/>
      <c r="N552" s="216">
        <f>N553</f>
        <v>0</v>
      </c>
      <c r="O552" s="215"/>
      <c r="P552" s="216"/>
      <c r="Q552" s="216">
        <f t="shared" si="257"/>
        <v>1966931.62</v>
      </c>
      <c r="R552" s="216">
        <f t="shared" si="257"/>
        <v>1966931.62</v>
      </c>
      <c r="S552" s="216">
        <f t="shared" si="257"/>
        <v>0</v>
      </c>
      <c r="T552" s="216"/>
      <c r="U552" s="215"/>
      <c r="V552" s="216">
        <f t="shared" si="258"/>
        <v>4864313.37</v>
      </c>
      <c r="W552" s="216">
        <f t="shared" si="258"/>
        <v>4864313.37</v>
      </c>
      <c r="X552" s="216">
        <f t="shared" si="258"/>
        <v>0</v>
      </c>
      <c r="Y552" s="215">
        <f t="shared" si="258"/>
        <v>2974717.87</v>
      </c>
      <c r="Z552" s="216">
        <f t="shared" si="258"/>
        <v>2974717.87</v>
      </c>
    </row>
    <row r="553" spans="2:26" ht="10.5" customHeight="1" x14ac:dyDescent="0.2">
      <c r="B553" s="522" t="s">
        <v>462</v>
      </c>
      <c r="C553" s="129" t="s">
        <v>7</v>
      </c>
      <c r="D553" s="88" t="s">
        <v>135</v>
      </c>
      <c r="E553" s="88" t="s">
        <v>135</v>
      </c>
      <c r="F553" s="88" t="s">
        <v>135</v>
      </c>
      <c r="G553" s="88" t="s">
        <v>459</v>
      </c>
      <c r="H553" s="90" t="s">
        <v>135</v>
      </c>
      <c r="I553" s="306" t="s">
        <v>458</v>
      </c>
      <c r="J553" s="91"/>
      <c r="K553" s="92"/>
      <c r="L553" s="327"/>
      <c r="M553" s="327"/>
      <c r="N553" s="327">
        <v>0</v>
      </c>
      <c r="O553" s="326"/>
      <c r="P553" s="327"/>
      <c r="Q553" s="327">
        <v>1966931.62</v>
      </c>
      <c r="R553" s="327">
        <f>Q553</f>
        <v>1966931.62</v>
      </c>
      <c r="S553" s="327">
        <v>0</v>
      </c>
      <c r="T553" s="327"/>
      <c r="U553" s="326"/>
      <c r="V553" s="327">
        <v>4864313.37</v>
      </c>
      <c r="W553" s="327">
        <f>V553</f>
        <v>4864313.37</v>
      </c>
      <c r="X553" s="327">
        <v>0</v>
      </c>
      <c r="Y553" s="326">
        <v>2974717.87</v>
      </c>
      <c r="Z553" s="327">
        <f>Y553</f>
        <v>2974717.87</v>
      </c>
    </row>
    <row r="554" spans="2:26" hidden="1" x14ac:dyDescent="0.2">
      <c r="B554" s="440"/>
      <c r="C554" s="144"/>
      <c r="D554" s="144"/>
      <c r="E554" s="144"/>
      <c r="F554" s="144"/>
      <c r="G554" s="144"/>
      <c r="H554" s="90"/>
      <c r="I554" s="307"/>
      <c r="J554" s="288"/>
      <c r="K554" s="264"/>
      <c r="L554" s="265"/>
      <c r="M554" s="265"/>
      <c r="N554" s="265"/>
      <c r="O554" s="265"/>
      <c r="P554" s="265"/>
      <c r="Q554" s="265"/>
      <c r="R554" s="265"/>
      <c r="S554" s="265"/>
      <c r="T554" s="266"/>
      <c r="U554" s="266"/>
      <c r="V554" s="265"/>
      <c r="W554" s="265"/>
      <c r="X554" s="266"/>
      <c r="Y554" s="288"/>
      <c r="Z554" s="265"/>
    </row>
    <row r="555" spans="2:26" ht="31.5" x14ac:dyDescent="0.2">
      <c r="B555" s="468" t="s">
        <v>395</v>
      </c>
      <c r="C555" s="240" t="s">
        <v>314</v>
      </c>
      <c r="D555" s="240" t="s">
        <v>135</v>
      </c>
      <c r="E555" s="240" t="s">
        <v>135</v>
      </c>
      <c r="F555" s="240" t="s">
        <v>135</v>
      </c>
      <c r="G555" s="240" t="s">
        <v>136</v>
      </c>
      <c r="H555" s="241" t="s">
        <v>135</v>
      </c>
      <c r="I555" s="319"/>
      <c r="J555" s="118"/>
      <c r="K555" s="209"/>
      <c r="L555" s="197">
        <f t="shared" ref="L555:Z555" si="259">L556</f>
        <v>2116326.36</v>
      </c>
      <c r="M555" s="197">
        <f t="shared" si="259"/>
        <v>75558.78</v>
      </c>
      <c r="N555" s="197">
        <f t="shared" si="259"/>
        <v>2191885.14</v>
      </c>
      <c r="O555" s="197">
        <f t="shared" si="259"/>
        <v>2197872.9300000002</v>
      </c>
      <c r="P555" s="197">
        <f t="shared" si="259"/>
        <v>194028.71999999997</v>
      </c>
      <c r="Q555" s="197">
        <f t="shared" si="259"/>
        <v>0</v>
      </c>
      <c r="R555" s="197">
        <f t="shared" si="259"/>
        <v>2191885.14</v>
      </c>
      <c r="S555" s="197">
        <f t="shared" si="259"/>
        <v>2391901.65</v>
      </c>
      <c r="T555" s="197">
        <f t="shared" si="259"/>
        <v>2291161.6799999997</v>
      </c>
      <c r="U555" s="197">
        <f t="shared" si="259"/>
        <v>303133.82999999996</v>
      </c>
      <c r="V555" s="197">
        <f t="shared" si="259"/>
        <v>0</v>
      </c>
      <c r="W555" s="197">
        <f t="shared" si="259"/>
        <v>2391901.65</v>
      </c>
      <c r="X555" s="197">
        <f t="shared" si="259"/>
        <v>2594295.5099999998</v>
      </c>
      <c r="Y555" s="196">
        <f t="shared" si="259"/>
        <v>0</v>
      </c>
      <c r="Z555" s="197">
        <f t="shared" si="259"/>
        <v>2594295.5100000002</v>
      </c>
    </row>
    <row r="556" spans="2:26" ht="51" x14ac:dyDescent="0.2">
      <c r="B556" s="212" t="s">
        <v>287</v>
      </c>
      <c r="C556" s="103" t="s">
        <v>314</v>
      </c>
      <c r="D556" s="66" t="s">
        <v>135</v>
      </c>
      <c r="E556" s="66" t="s">
        <v>135</v>
      </c>
      <c r="F556" s="66" t="s">
        <v>135</v>
      </c>
      <c r="G556" s="66" t="s">
        <v>286</v>
      </c>
      <c r="H556" s="67" t="s">
        <v>137</v>
      </c>
      <c r="I556" s="309"/>
      <c r="J556" s="118"/>
      <c r="K556" s="209"/>
      <c r="L556" s="210">
        <f t="shared" ref="L556:X556" si="260">L557+L559</f>
        <v>2116326.36</v>
      </c>
      <c r="M556" s="210">
        <f t="shared" si="260"/>
        <v>75558.78</v>
      </c>
      <c r="N556" s="210">
        <f t="shared" si="260"/>
        <v>2191885.14</v>
      </c>
      <c r="O556" s="210">
        <f t="shared" si="260"/>
        <v>2197872.9300000002</v>
      </c>
      <c r="P556" s="210">
        <f t="shared" si="260"/>
        <v>194028.71999999997</v>
      </c>
      <c r="Q556" s="210">
        <f>Q557+Q559</f>
        <v>0</v>
      </c>
      <c r="R556" s="210">
        <f>R557+R559</f>
        <v>2191885.14</v>
      </c>
      <c r="S556" s="210">
        <f t="shared" si="260"/>
        <v>2391901.65</v>
      </c>
      <c r="T556" s="210">
        <f t="shared" si="260"/>
        <v>2291161.6799999997</v>
      </c>
      <c r="U556" s="210">
        <f t="shared" si="260"/>
        <v>303133.82999999996</v>
      </c>
      <c r="V556" s="210">
        <f>V557+V559</f>
        <v>0</v>
      </c>
      <c r="W556" s="210">
        <f>W557+W559</f>
        <v>2391901.65</v>
      </c>
      <c r="X556" s="210">
        <f t="shared" si="260"/>
        <v>2594295.5099999998</v>
      </c>
      <c r="Y556" s="209">
        <f>Y557+Y559</f>
        <v>0</v>
      </c>
      <c r="Z556" s="210">
        <f>Z557+Z559</f>
        <v>2594295.5100000002</v>
      </c>
    </row>
    <row r="557" spans="2:26" ht="51" x14ac:dyDescent="0.2">
      <c r="B557" s="212" t="s">
        <v>67</v>
      </c>
      <c r="C557" s="103" t="s">
        <v>314</v>
      </c>
      <c r="D557" s="66" t="s">
        <v>135</v>
      </c>
      <c r="E557" s="66" t="s">
        <v>135</v>
      </c>
      <c r="F557" s="66" t="s">
        <v>135</v>
      </c>
      <c r="G557" s="66" t="s">
        <v>286</v>
      </c>
      <c r="H557" s="67" t="s">
        <v>137</v>
      </c>
      <c r="I557" s="309" t="s">
        <v>60</v>
      </c>
      <c r="J557" s="118"/>
      <c r="K557" s="209"/>
      <c r="L557" s="210">
        <f t="shared" ref="L557:Z557" si="261">L558</f>
        <v>1951079.46</v>
      </c>
      <c r="M557" s="210">
        <f t="shared" si="261"/>
        <v>59123.62</v>
      </c>
      <c r="N557" s="210">
        <f t="shared" si="261"/>
        <v>2010203.08</v>
      </c>
      <c r="O557" s="210">
        <f t="shared" si="261"/>
        <v>1951079.46</v>
      </c>
      <c r="P557" s="210">
        <f t="shared" si="261"/>
        <v>295618.09999999998</v>
      </c>
      <c r="Q557" s="210">
        <f t="shared" si="261"/>
        <v>16600</v>
      </c>
      <c r="R557" s="210">
        <f t="shared" si="261"/>
        <v>2026803.08</v>
      </c>
      <c r="S557" s="210">
        <f t="shared" si="261"/>
        <v>2246697.56</v>
      </c>
      <c r="T557" s="210">
        <f t="shared" si="261"/>
        <v>1951079.46</v>
      </c>
      <c r="U557" s="210">
        <f t="shared" si="261"/>
        <v>295618.09999999998</v>
      </c>
      <c r="V557" s="210">
        <f t="shared" si="261"/>
        <v>0</v>
      </c>
      <c r="W557" s="210">
        <f t="shared" si="261"/>
        <v>2246697.56</v>
      </c>
      <c r="X557" s="210">
        <f t="shared" si="261"/>
        <v>2246697.56</v>
      </c>
      <c r="Y557" s="209">
        <f t="shared" si="261"/>
        <v>0</v>
      </c>
      <c r="Z557" s="210">
        <f t="shared" si="261"/>
        <v>2246697.56</v>
      </c>
    </row>
    <row r="558" spans="2:26" ht="25.5" x14ac:dyDescent="0.2">
      <c r="B558" s="212" t="s">
        <v>61</v>
      </c>
      <c r="C558" s="103" t="s">
        <v>314</v>
      </c>
      <c r="D558" s="66" t="s">
        <v>135</v>
      </c>
      <c r="E558" s="66" t="s">
        <v>135</v>
      </c>
      <c r="F558" s="66" t="s">
        <v>135</v>
      </c>
      <c r="G558" s="66" t="s">
        <v>286</v>
      </c>
      <c r="H558" s="67" t="s">
        <v>137</v>
      </c>
      <c r="I558" s="309" t="s">
        <v>171</v>
      </c>
      <c r="J558" s="118"/>
      <c r="K558" s="209"/>
      <c r="L558" s="210">
        <f>1951079.46</f>
        <v>1951079.46</v>
      </c>
      <c r="M558" s="210">
        <v>59123.62</v>
      </c>
      <c r="N558" s="210">
        <f>M558+L558</f>
        <v>2010203.08</v>
      </c>
      <c r="O558" s="210">
        <f>1951079.46</f>
        <v>1951079.46</v>
      </c>
      <c r="P558" s="210">
        <v>295618.09999999998</v>
      </c>
      <c r="Q558" s="210">
        <f>10000+4100+2500</f>
        <v>16600</v>
      </c>
      <c r="R558" s="210">
        <f>Q558+N558</f>
        <v>2026803.08</v>
      </c>
      <c r="S558" s="210">
        <f>P558+O558</f>
        <v>2246697.56</v>
      </c>
      <c r="T558" s="210">
        <f>1951079.46</f>
        <v>1951079.46</v>
      </c>
      <c r="U558" s="210">
        <v>295618.09999999998</v>
      </c>
      <c r="V558" s="210">
        <v>0</v>
      </c>
      <c r="W558" s="210">
        <v>2246697.56</v>
      </c>
      <c r="X558" s="210">
        <f>U558+T558</f>
        <v>2246697.56</v>
      </c>
      <c r="Y558" s="209">
        <v>0</v>
      </c>
      <c r="Z558" s="210">
        <f>W558+V558</f>
        <v>2246697.56</v>
      </c>
    </row>
    <row r="559" spans="2:26" ht="25.5" x14ac:dyDescent="0.2">
      <c r="B559" s="212" t="s">
        <v>52</v>
      </c>
      <c r="C559" s="103" t="s">
        <v>314</v>
      </c>
      <c r="D559" s="66" t="s">
        <v>135</v>
      </c>
      <c r="E559" s="66" t="s">
        <v>135</v>
      </c>
      <c r="F559" s="66" t="s">
        <v>135</v>
      </c>
      <c r="G559" s="66" t="s">
        <v>286</v>
      </c>
      <c r="H559" s="67" t="s">
        <v>137</v>
      </c>
      <c r="I559" s="309" t="s">
        <v>53</v>
      </c>
      <c r="J559" s="118"/>
      <c r="K559" s="209"/>
      <c r="L559" s="210">
        <f t="shared" ref="L559:Z559" si="262">L560</f>
        <v>165246.9</v>
      </c>
      <c r="M559" s="210">
        <f t="shared" si="262"/>
        <v>16435.16</v>
      </c>
      <c r="N559" s="210">
        <f t="shared" si="262"/>
        <v>181682.06</v>
      </c>
      <c r="O559" s="210">
        <f t="shared" si="262"/>
        <v>246793.47</v>
      </c>
      <c r="P559" s="210">
        <f t="shared" si="262"/>
        <v>-101589.38</v>
      </c>
      <c r="Q559" s="210">
        <f t="shared" si="262"/>
        <v>-16600</v>
      </c>
      <c r="R559" s="210">
        <f t="shared" si="262"/>
        <v>165082.06</v>
      </c>
      <c r="S559" s="210">
        <f t="shared" si="262"/>
        <v>145204.09</v>
      </c>
      <c r="T559" s="210">
        <f t="shared" si="262"/>
        <v>340082.22</v>
      </c>
      <c r="U559" s="210">
        <f t="shared" si="262"/>
        <v>7515.73</v>
      </c>
      <c r="V559" s="210">
        <f t="shared" si="262"/>
        <v>0</v>
      </c>
      <c r="W559" s="210">
        <f t="shared" si="262"/>
        <v>145204.09</v>
      </c>
      <c r="X559" s="210">
        <f t="shared" si="262"/>
        <v>347597.94999999995</v>
      </c>
      <c r="Y559" s="209">
        <f t="shared" si="262"/>
        <v>0</v>
      </c>
      <c r="Z559" s="210">
        <f t="shared" si="262"/>
        <v>347597.95</v>
      </c>
    </row>
    <row r="560" spans="2:26" ht="25.5" x14ac:dyDescent="0.2">
      <c r="B560" s="212" t="s">
        <v>54</v>
      </c>
      <c r="C560" s="103" t="s">
        <v>314</v>
      </c>
      <c r="D560" s="66" t="s">
        <v>135</v>
      </c>
      <c r="E560" s="66" t="s">
        <v>135</v>
      </c>
      <c r="F560" s="66" t="s">
        <v>135</v>
      </c>
      <c r="G560" s="66" t="s">
        <v>286</v>
      </c>
      <c r="H560" s="67" t="s">
        <v>137</v>
      </c>
      <c r="I560" s="309" t="s">
        <v>55</v>
      </c>
      <c r="J560" s="118"/>
      <c r="K560" s="209"/>
      <c r="L560" s="210">
        <v>165246.9</v>
      </c>
      <c r="M560" s="210">
        <v>16435.16</v>
      </c>
      <c r="N560" s="210">
        <f>M560+L560</f>
        <v>181682.06</v>
      </c>
      <c r="O560" s="210">
        <v>246793.47</v>
      </c>
      <c r="P560" s="210">
        <v>-101589.38</v>
      </c>
      <c r="Q560" s="210">
        <f>-10000-4100-2500</f>
        <v>-16600</v>
      </c>
      <c r="R560" s="210">
        <f>Q560+N560</f>
        <v>165082.06</v>
      </c>
      <c r="S560" s="210">
        <f>P560+O560</f>
        <v>145204.09</v>
      </c>
      <c r="T560" s="210">
        <v>340082.22</v>
      </c>
      <c r="U560" s="210">
        <v>7515.73</v>
      </c>
      <c r="V560" s="210">
        <v>0</v>
      </c>
      <c r="W560" s="210">
        <v>145204.09</v>
      </c>
      <c r="X560" s="210">
        <f>U560+T560</f>
        <v>347597.94999999995</v>
      </c>
      <c r="Y560" s="209">
        <v>0</v>
      </c>
      <c r="Z560" s="210">
        <v>347597.95</v>
      </c>
    </row>
    <row r="561" spans="2:28" x14ac:dyDescent="0.2">
      <c r="B561" s="212"/>
      <c r="C561" s="305"/>
      <c r="D561" s="144"/>
      <c r="E561" s="144"/>
      <c r="F561" s="144"/>
      <c r="G561" s="144"/>
      <c r="H561" s="90"/>
      <c r="I561" s="307"/>
      <c r="J561" s="118"/>
      <c r="K561" s="209"/>
      <c r="L561" s="210"/>
      <c r="M561" s="210"/>
      <c r="N561" s="210"/>
      <c r="O561" s="210"/>
      <c r="P561" s="210"/>
      <c r="Q561" s="210"/>
      <c r="R561" s="210"/>
      <c r="S561" s="210"/>
      <c r="T561" s="211"/>
      <c r="U561" s="211"/>
      <c r="V561" s="210"/>
      <c r="W561" s="210"/>
      <c r="X561" s="211"/>
      <c r="Y561" s="118"/>
      <c r="Z561" s="210"/>
    </row>
    <row r="562" spans="2:28" ht="16.5" customHeight="1" x14ac:dyDescent="0.2">
      <c r="B562" s="267"/>
      <c r="C562" s="317"/>
      <c r="D562" s="318"/>
      <c r="E562" s="318"/>
      <c r="F562" s="318"/>
      <c r="G562" s="318"/>
      <c r="H562" s="319"/>
      <c r="I562" s="242"/>
      <c r="J562" s="310"/>
      <c r="K562" s="311"/>
      <c r="L562" s="312"/>
      <c r="M562" s="312"/>
      <c r="N562" s="312"/>
      <c r="O562" s="312"/>
      <c r="P562" s="312"/>
      <c r="Q562" s="312"/>
      <c r="R562" s="312"/>
      <c r="S562" s="312"/>
      <c r="T562" s="313"/>
      <c r="U562" s="313"/>
      <c r="V562" s="312"/>
      <c r="W562" s="312"/>
      <c r="X562" s="313"/>
      <c r="Y562" s="310"/>
      <c r="Z562" s="312"/>
    </row>
    <row r="563" spans="2:28" ht="31.5" x14ac:dyDescent="0.2">
      <c r="B563" s="198" t="s">
        <v>33</v>
      </c>
      <c r="C563" s="302" t="s">
        <v>25</v>
      </c>
      <c r="D563" s="227" t="s">
        <v>135</v>
      </c>
      <c r="E563" s="227" t="s">
        <v>135</v>
      </c>
      <c r="F563" s="227" t="s">
        <v>135</v>
      </c>
      <c r="G563" s="227" t="s">
        <v>136</v>
      </c>
      <c r="H563" s="228" t="s">
        <v>135</v>
      </c>
      <c r="I563" s="303"/>
      <c r="J563" s="195">
        <f t="shared" ref="J563:Z563" si="263">J564</f>
        <v>1000000</v>
      </c>
      <c r="K563" s="196">
        <f t="shared" si="263"/>
        <v>0</v>
      </c>
      <c r="L563" s="197">
        <f t="shared" si="263"/>
        <v>1330887.8899999999</v>
      </c>
      <c r="M563" s="197">
        <f t="shared" si="263"/>
        <v>-1000000</v>
      </c>
      <c r="N563" s="197">
        <f t="shared" si="263"/>
        <v>330887.8899999999</v>
      </c>
      <c r="O563" s="197">
        <f t="shared" si="263"/>
        <v>200000</v>
      </c>
      <c r="P563" s="197">
        <f t="shared" si="263"/>
        <v>0</v>
      </c>
      <c r="Q563" s="197">
        <f t="shared" si="263"/>
        <v>0</v>
      </c>
      <c r="R563" s="197">
        <f t="shared" si="263"/>
        <v>330887.89</v>
      </c>
      <c r="S563" s="197">
        <f t="shared" si="263"/>
        <v>200000</v>
      </c>
      <c r="T563" s="197">
        <f t="shared" si="263"/>
        <v>200000</v>
      </c>
      <c r="U563" s="197">
        <f t="shared" si="263"/>
        <v>0</v>
      </c>
      <c r="V563" s="197">
        <f t="shared" si="263"/>
        <v>0</v>
      </c>
      <c r="W563" s="197">
        <f t="shared" si="263"/>
        <v>200000</v>
      </c>
      <c r="X563" s="197">
        <f t="shared" si="263"/>
        <v>200000</v>
      </c>
      <c r="Y563" s="196">
        <f t="shared" si="263"/>
        <v>0</v>
      </c>
      <c r="Z563" s="197">
        <f t="shared" si="263"/>
        <v>200000</v>
      </c>
    </row>
    <row r="564" spans="2:28" ht="38.25" x14ac:dyDescent="0.2">
      <c r="B564" s="212" t="s">
        <v>353</v>
      </c>
      <c r="C564" s="117" t="s">
        <v>25</v>
      </c>
      <c r="D564" s="72" t="s">
        <v>135</v>
      </c>
      <c r="E564" s="72" t="s">
        <v>135</v>
      </c>
      <c r="F564" s="72" t="s">
        <v>135</v>
      </c>
      <c r="G564" s="72" t="s">
        <v>17</v>
      </c>
      <c r="H564" s="67" t="s">
        <v>135</v>
      </c>
      <c r="I564" s="214"/>
      <c r="J564" s="118">
        <f t="shared" ref="J564:X564" si="264">J567+J565</f>
        <v>1000000</v>
      </c>
      <c r="K564" s="209">
        <f t="shared" si="264"/>
        <v>0</v>
      </c>
      <c r="L564" s="210">
        <f t="shared" si="264"/>
        <v>1330887.8899999999</v>
      </c>
      <c r="M564" s="210">
        <f t="shared" si="264"/>
        <v>-1000000</v>
      </c>
      <c r="N564" s="210">
        <f t="shared" si="264"/>
        <v>330887.8899999999</v>
      </c>
      <c r="O564" s="210">
        <f t="shared" si="264"/>
        <v>200000</v>
      </c>
      <c r="P564" s="210">
        <f t="shared" si="264"/>
        <v>0</v>
      </c>
      <c r="Q564" s="210">
        <f>Q567+Q565</f>
        <v>0</v>
      </c>
      <c r="R564" s="210">
        <f>R567+R565</f>
        <v>330887.89</v>
      </c>
      <c r="S564" s="210">
        <f t="shared" si="264"/>
        <v>200000</v>
      </c>
      <c r="T564" s="211">
        <f t="shared" si="264"/>
        <v>200000</v>
      </c>
      <c r="U564" s="211">
        <f t="shared" si="264"/>
        <v>0</v>
      </c>
      <c r="V564" s="210">
        <f>V567+V565</f>
        <v>0</v>
      </c>
      <c r="W564" s="210">
        <f>W567+W565</f>
        <v>200000</v>
      </c>
      <c r="X564" s="211">
        <f t="shared" si="264"/>
        <v>200000</v>
      </c>
      <c r="Y564" s="118">
        <f>Y567+Y565</f>
        <v>0</v>
      </c>
      <c r="Z564" s="210">
        <f>Z567+Z565</f>
        <v>200000</v>
      </c>
    </row>
    <row r="565" spans="2:28" ht="25.5" hidden="1" x14ac:dyDescent="0.2">
      <c r="B565" s="212" t="s">
        <v>52</v>
      </c>
      <c r="C565" s="117" t="s">
        <v>25</v>
      </c>
      <c r="D565" s="72" t="s">
        <v>135</v>
      </c>
      <c r="E565" s="72" t="s">
        <v>135</v>
      </c>
      <c r="F565" s="72" t="s">
        <v>135</v>
      </c>
      <c r="G565" s="72" t="s">
        <v>17</v>
      </c>
      <c r="H565" s="67" t="s">
        <v>135</v>
      </c>
      <c r="I565" s="214" t="s">
        <v>53</v>
      </c>
      <c r="J565" s="118">
        <f t="shared" ref="J565:Z565" si="265">J566</f>
        <v>0</v>
      </c>
      <c r="K565" s="209">
        <f t="shared" si="265"/>
        <v>0</v>
      </c>
      <c r="L565" s="210">
        <f t="shared" si="265"/>
        <v>0</v>
      </c>
      <c r="M565" s="210">
        <f t="shared" si="265"/>
        <v>0</v>
      </c>
      <c r="N565" s="210">
        <f t="shared" si="265"/>
        <v>0</v>
      </c>
      <c r="O565" s="210">
        <f t="shared" si="265"/>
        <v>0</v>
      </c>
      <c r="P565" s="210">
        <f t="shared" si="265"/>
        <v>0</v>
      </c>
      <c r="Q565" s="210">
        <f t="shared" si="265"/>
        <v>0</v>
      </c>
      <c r="R565" s="210">
        <f t="shared" si="265"/>
        <v>0</v>
      </c>
      <c r="S565" s="210">
        <f t="shared" si="265"/>
        <v>0</v>
      </c>
      <c r="T565" s="211">
        <f t="shared" si="265"/>
        <v>0</v>
      </c>
      <c r="U565" s="211">
        <f t="shared" si="265"/>
        <v>0</v>
      </c>
      <c r="V565" s="210">
        <f t="shared" si="265"/>
        <v>0</v>
      </c>
      <c r="W565" s="210">
        <f t="shared" si="265"/>
        <v>0</v>
      </c>
      <c r="X565" s="211">
        <f t="shared" si="265"/>
        <v>0</v>
      </c>
      <c r="Y565" s="118">
        <f t="shared" si="265"/>
        <v>0</v>
      </c>
      <c r="Z565" s="210">
        <f t="shared" si="265"/>
        <v>0</v>
      </c>
    </row>
    <row r="566" spans="2:28" ht="25.5" hidden="1" x14ac:dyDescent="0.2">
      <c r="B566" s="212" t="s">
        <v>54</v>
      </c>
      <c r="C566" s="117" t="s">
        <v>25</v>
      </c>
      <c r="D566" s="72" t="s">
        <v>135</v>
      </c>
      <c r="E566" s="72" t="s">
        <v>135</v>
      </c>
      <c r="F566" s="72" t="s">
        <v>135</v>
      </c>
      <c r="G566" s="72" t="s">
        <v>17</v>
      </c>
      <c r="H566" s="67" t="s">
        <v>135</v>
      </c>
      <c r="I566" s="214" t="s">
        <v>55</v>
      </c>
      <c r="J566" s="118">
        <v>0</v>
      </c>
      <c r="K566" s="209">
        <v>0</v>
      </c>
      <c r="L566" s="210">
        <v>0</v>
      </c>
      <c r="M566" s="210">
        <v>0</v>
      </c>
      <c r="N566" s="210">
        <v>0</v>
      </c>
      <c r="O566" s="210">
        <v>0</v>
      </c>
      <c r="P566" s="210">
        <v>0</v>
      </c>
      <c r="Q566" s="210">
        <v>0</v>
      </c>
      <c r="R566" s="210">
        <v>0</v>
      </c>
      <c r="S566" s="210">
        <v>0</v>
      </c>
      <c r="T566" s="211">
        <v>0</v>
      </c>
      <c r="U566" s="211">
        <v>0</v>
      </c>
      <c r="V566" s="210">
        <v>0</v>
      </c>
      <c r="W566" s="210">
        <v>0</v>
      </c>
      <c r="X566" s="211">
        <v>0</v>
      </c>
      <c r="Y566" s="118">
        <v>0</v>
      </c>
      <c r="Z566" s="210">
        <v>0</v>
      </c>
    </row>
    <row r="567" spans="2:28" x14ac:dyDescent="0.2">
      <c r="B567" s="212" t="s">
        <v>62</v>
      </c>
      <c r="C567" s="117" t="s">
        <v>25</v>
      </c>
      <c r="D567" s="72" t="s">
        <v>135</v>
      </c>
      <c r="E567" s="72" t="s">
        <v>135</v>
      </c>
      <c r="F567" s="72" t="s">
        <v>135</v>
      </c>
      <c r="G567" s="72" t="s">
        <v>17</v>
      </c>
      <c r="H567" s="67" t="s">
        <v>135</v>
      </c>
      <c r="I567" s="214" t="s">
        <v>63</v>
      </c>
      <c r="J567" s="118">
        <f t="shared" ref="J567:Z567" si="266">J568</f>
        <v>1000000</v>
      </c>
      <c r="K567" s="209">
        <f t="shared" si="266"/>
        <v>0</v>
      </c>
      <c r="L567" s="210">
        <f t="shared" si="266"/>
        <v>1330887.8899999999</v>
      </c>
      <c r="M567" s="210">
        <f t="shared" si="266"/>
        <v>-1000000</v>
      </c>
      <c r="N567" s="210">
        <f t="shared" si="266"/>
        <v>330887.8899999999</v>
      </c>
      <c r="O567" s="210">
        <f t="shared" si="266"/>
        <v>200000</v>
      </c>
      <c r="P567" s="210">
        <f t="shared" si="266"/>
        <v>0</v>
      </c>
      <c r="Q567" s="210">
        <f t="shared" si="266"/>
        <v>0</v>
      </c>
      <c r="R567" s="210">
        <f t="shared" si="266"/>
        <v>330887.89</v>
      </c>
      <c r="S567" s="210">
        <f t="shared" si="266"/>
        <v>200000</v>
      </c>
      <c r="T567" s="211">
        <f t="shared" si="266"/>
        <v>200000</v>
      </c>
      <c r="U567" s="211">
        <f t="shared" si="266"/>
        <v>0</v>
      </c>
      <c r="V567" s="210">
        <f t="shared" si="266"/>
        <v>0</v>
      </c>
      <c r="W567" s="210">
        <f t="shared" si="266"/>
        <v>200000</v>
      </c>
      <c r="X567" s="211">
        <f t="shared" si="266"/>
        <v>200000</v>
      </c>
      <c r="Y567" s="118">
        <f t="shared" si="266"/>
        <v>0</v>
      </c>
      <c r="Z567" s="210">
        <f t="shared" si="266"/>
        <v>200000</v>
      </c>
    </row>
    <row r="568" spans="2:28" x14ac:dyDescent="0.2">
      <c r="B568" s="212" t="s">
        <v>50</v>
      </c>
      <c r="C568" s="117" t="s">
        <v>25</v>
      </c>
      <c r="D568" s="72" t="s">
        <v>135</v>
      </c>
      <c r="E568" s="72" t="s">
        <v>135</v>
      </c>
      <c r="F568" s="72" t="s">
        <v>135</v>
      </c>
      <c r="G568" s="72" t="s">
        <v>17</v>
      </c>
      <c r="H568" s="67" t="s">
        <v>135</v>
      </c>
      <c r="I568" s="214" t="s">
        <v>199</v>
      </c>
      <c r="J568" s="118">
        <v>1000000</v>
      </c>
      <c r="K568" s="209">
        <v>0</v>
      </c>
      <c r="L568" s="216">
        <v>1330887.8899999999</v>
      </c>
      <c r="M568" s="216">
        <v>-1000000</v>
      </c>
      <c r="N568" s="216">
        <f>M568+L568</f>
        <v>330887.8899999999</v>
      </c>
      <c r="O568" s="216">
        <v>200000</v>
      </c>
      <c r="P568" s="216">
        <v>0</v>
      </c>
      <c r="Q568" s="216">
        <v>0</v>
      </c>
      <c r="R568" s="216">
        <v>330887.89</v>
      </c>
      <c r="S568" s="216">
        <v>200000</v>
      </c>
      <c r="T568" s="216">
        <v>200000</v>
      </c>
      <c r="U568" s="216">
        <v>0</v>
      </c>
      <c r="V568" s="216">
        <v>0</v>
      </c>
      <c r="W568" s="216">
        <v>200000</v>
      </c>
      <c r="X568" s="216">
        <v>200000</v>
      </c>
      <c r="Y568" s="215">
        <v>0</v>
      </c>
      <c r="Z568" s="216">
        <v>200000</v>
      </c>
    </row>
    <row r="569" spans="2:28" ht="21" hidden="1" customHeight="1" x14ac:dyDescent="0.2">
      <c r="B569" s="212"/>
      <c r="C569" s="117" t="s">
        <v>25</v>
      </c>
      <c r="D569" s="72" t="s">
        <v>135</v>
      </c>
      <c r="E569" s="72" t="s">
        <v>135</v>
      </c>
      <c r="F569" s="72" t="s">
        <v>135</v>
      </c>
      <c r="G569" s="79"/>
      <c r="H569" s="67" t="s">
        <v>135</v>
      </c>
      <c r="I569" s="260"/>
      <c r="J569" s="118"/>
      <c r="K569" s="209"/>
      <c r="L569" s="210"/>
      <c r="M569" s="210"/>
      <c r="N569" s="210"/>
      <c r="O569" s="210"/>
      <c r="P569" s="210"/>
      <c r="Q569" s="210"/>
      <c r="R569" s="210"/>
      <c r="S569" s="210"/>
      <c r="T569" s="211"/>
      <c r="U569" s="211"/>
      <c r="V569" s="210"/>
      <c r="W569" s="210"/>
      <c r="X569" s="211"/>
      <c r="Y569" s="118"/>
      <c r="Z569" s="210"/>
    </row>
    <row r="570" spans="2:28" ht="21" customHeight="1" x14ac:dyDescent="0.2">
      <c r="B570" s="280"/>
      <c r="C570" s="305"/>
      <c r="D570" s="144"/>
      <c r="E570" s="144"/>
      <c r="F570" s="144"/>
      <c r="G570" s="86"/>
      <c r="H570" s="90"/>
      <c r="I570" s="235"/>
      <c r="J570" s="288"/>
      <c r="K570" s="264"/>
      <c r="L570" s="265"/>
      <c r="M570" s="265"/>
      <c r="N570" s="265"/>
      <c r="O570" s="265"/>
      <c r="P570" s="265"/>
      <c r="Q570" s="265"/>
      <c r="R570" s="265"/>
      <c r="S570" s="265"/>
      <c r="T570" s="266"/>
      <c r="U570" s="266"/>
      <c r="V570" s="265"/>
      <c r="W570" s="265"/>
      <c r="X570" s="266"/>
      <c r="Y570" s="288"/>
      <c r="Z570" s="265"/>
    </row>
    <row r="571" spans="2:28" ht="21" customHeight="1" x14ac:dyDescent="0.2">
      <c r="B571" s="519" t="s">
        <v>445</v>
      </c>
      <c r="C571" s="398" t="s">
        <v>446</v>
      </c>
      <c r="D571" s="444" t="s">
        <v>135</v>
      </c>
      <c r="E571" s="240" t="s">
        <v>135</v>
      </c>
      <c r="F571" s="240" t="s">
        <v>135</v>
      </c>
      <c r="G571" s="444" t="s">
        <v>136</v>
      </c>
      <c r="H571" s="240" t="s">
        <v>135</v>
      </c>
      <c r="I571" s="520"/>
      <c r="J571" s="254"/>
      <c r="K571" s="255"/>
      <c r="L571" s="256">
        <f>L572</f>
        <v>56105</v>
      </c>
      <c r="M571" s="256">
        <f t="shared" ref="M571:Z573" si="267">M572</f>
        <v>0</v>
      </c>
      <c r="N571" s="256">
        <f t="shared" si="267"/>
        <v>0</v>
      </c>
      <c r="O571" s="256">
        <f t="shared" si="267"/>
        <v>0</v>
      </c>
      <c r="P571" s="255">
        <f t="shared" si="267"/>
        <v>0</v>
      </c>
      <c r="Q571" s="256">
        <f t="shared" si="267"/>
        <v>420000</v>
      </c>
      <c r="R571" s="257">
        <f t="shared" si="267"/>
        <v>420000</v>
      </c>
      <c r="S571" s="203">
        <f t="shared" si="267"/>
        <v>0</v>
      </c>
      <c r="T571" s="197">
        <f t="shared" si="267"/>
        <v>0</v>
      </c>
      <c r="U571" s="118"/>
      <c r="V571" s="256">
        <f t="shared" si="267"/>
        <v>0</v>
      </c>
      <c r="W571" s="195">
        <f t="shared" si="267"/>
        <v>0</v>
      </c>
      <c r="X571" s="256">
        <f t="shared" si="267"/>
        <v>0</v>
      </c>
      <c r="Y571" s="195">
        <f t="shared" si="267"/>
        <v>0</v>
      </c>
      <c r="Z571" s="256">
        <f t="shared" si="267"/>
        <v>0</v>
      </c>
      <c r="AA571" s="195"/>
      <c r="AB571" s="360"/>
    </row>
    <row r="572" spans="2:28" ht="21" customHeight="1" x14ac:dyDescent="0.2">
      <c r="B572" s="34" t="s">
        <v>447</v>
      </c>
      <c r="C572" s="77" t="s">
        <v>446</v>
      </c>
      <c r="D572" s="79" t="s">
        <v>135</v>
      </c>
      <c r="E572" s="66" t="s">
        <v>135</v>
      </c>
      <c r="F572" s="66" t="s">
        <v>135</v>
      </c>
      <c r="G572" s="79" t="s">
        <v>448</v>
      </c>
      <c r="H572" s="66" t="s">
        <v>135</v>
      </c>
      <c r="I572" s="260"/>
      <c r="J572" s="118"/>
      <c r="K572" s="209"/>
      <c r="L572" s="210">
        <f>L573</f>
        <v>56105</v>
      </c>
      <c r="M572" s="210">
        <f t="shared" si="267"/>
        <v>0</v>
      </c>
      <c r="N572" s="210">
        <f t="shared" si="267"/>
        <v>0</v>
      </c>
      <c r="O572" s="210">
        <f t="shared" si="267"/>
        <v>0</v>
      </c>
      <c r="P572" s="209">
        <f t="shared" si="267"/>
        <v>0</v>
      </c>
      <c r="Q572" s="210">
        <f t="shared" si="267"/>
        <v>420000</v>
      </c>
      <c r="R572" s="211">
        <f t="shared" si="267"/>
        <v>420000</v>
      </c>
      <c r="S572" s="211">
        <f t="shared" si="267"/>
        <v>0</v>
      </c>
      <c r="T572" s="210">
        <f t="shared" si="267"/>
        <v>0</v>
      </c>
      <c r="U572" s="118"/>
      <c r="V572" s="210">
        <f t="shared" si="267"/>
        <v>0</v>
      </c>
      <c r="W572" s="118">
        <f t="shared" si="267"/>
        <v>0</v>
      </c>
      <c r="X572" s="210">
        <f t="shared" si="267"/>
        <v>0</v>
      </c>
      <c r="Y572" s="118">
        <f t="shared" si="267"/>
        <v>0</v>
      </c>
      <c r="Z572" s="210">
        <f t="shared" si="267"/>
        <v>0</v>
      </c>
      <c r="AA572" s="118"/>
      <c r="AB572" s="360"/>
    </row>
    <row r="573" spans="2:28" ht="49.5" customHeight="1" x14ac:dyDescent="0.2">
      <c r="B573" s="34" t="s">
        <v>21</v>
      </c>
      <c r="C573" s="77" t="s">
        <v>446</v>
      </c>
      <c r="D573" s="79" t="s">
        <v>135</v>
      </c>
      <c r="E573" s="66" t="s">
        <v>135</v>
      </c>
      <c r="F573" s="66" t="s">
        <v>135</v>
      </c>
      <c r="G573" s="79" t="s">
        <v>448</v>
      </c>
      <c r="H573" s="66" t="s">
        <v>135</v>
      </c>
      <c r="I573" s="260" t="s">
        <v>149</v>
      </c>
      <c r="J573" s="118"/>
      <c r="K573" s="209"/>
      <c r="L573" s="210">
        <f>L574</f>
        <v>56105</v>
      </c>
      <c r="M573" s="210">
        <f t="shared" si="267"/>
        <v>0</v>
      </c>
      <c r="N573" s="210">
        <f t="shared" si="267"/>
        <v>0</v>
      </c>
      <c r="O573" s="210">
        <f t="shared" si="267"/>
        <v>0</v>
      </c>
      <c r="P573" s="209">
        <f t="shared" si="267"/>
        <v>0</v>
      </c>
      <c r="Q573" s="210">
        <f t="shared" si="267"/>
        <v>420000</v>
      </c>
      <c r="R573" s="211">
        <f t="shared" si="267"/>
        <v>420000</v>
      </c>
      <c r="S573" s="211">
        <f t="shared" si="267"/>
        <v>0</v>
      </c>
      <c r="T573" s="210">
        <f t="shared" si="267"/>
        <v>0</v>
      </c>
      <c r="U573" s="118"/>
      <c r="V573" s="210">
        <f t="shared" si="267"/>
        <v>0</v>
      </c>
      <c r="W573" s="118">
        <f t="shared" si="267"/>
        <v>0</v>
      </c>
      <c r="X573" s="210">
        <f t="shared" si="267"/>
        <v>0</v>
      </c>
      <c r="Y573" s="118">
        <f t="shared" si="267"/>
        <v>0</v>
      </c>
      <c r="Z573" s="210">
        <f t="shared" si="267"/>
        <v>0</v>
      </c>
      <c r="AA573" s="118"/>
      <c r="AB573" s="360"/>
    </row>
    <row r="574" spans="2:28" ht="21" customHeight="1" x14ac:dyDescent="0.2">
      <c r="B574" s="509" t="s">
        <v>22</v>
      </c>
      <c r="C574" s="77" t="s">
        <v>446</v>
      </c>
      <c r="D574" s="79" t="s">
        <v>135</v>
      </c>
      <c r="E574" s="66" t="s">
        <v>135</v>
      </c>
      <c r="F574" s="66" t="s">
        <v>135</v>
      </c>
      <c r="G574" s="79" t="s">
        <v>448</v>
      </c>
      <c r="H574" s="66" t="s">
        <v>135</v>
      </c>
      <c r="I574" s="260" t="s">
        <v>23</v>
      </c>
      <c r="J574" s="118"/>
      <c r="K574" s="118"/>
      <c r="L574" s="118">
        <v>56105</v>
      </c>
      <c r="M574" s="118">
        <v>0</v>
      </c>
      <c r="N574" s="118">
        <v>0</v>
      </c>
      <c r="O574" s="118">
        <v>0</v>
      </c>
      <c r="P574" s="118">
        <v>0</v>
      </c>
      <c r="Q574" s="210">
        <v>420000</v>
      </c>
      <c r="R574" s="211">
        <f>Q574</f>
        <v>420000</v>
      </c>
      <c r="S574" s="118">
        <v>0</v>
      </c>
      <c r="T574" s="118">
        <v>0</v>
      </c>
      <c r="U574" s="118"/>
      <c r="V574" s="210">
        <v>0</v>
      </c>
      <c r="W574" s="118">
        <v>0</v>
      </c>
      <c r="X574" s="210">
        <v>0</v>
      </c>
      <c r="Y574" s="118">
        <v>0</v>
      </c>
      <c r="Z574" s="210">
        <v>0</v>
      </c>
      <c r="AA574" s="118"/>
    </row>
    <row r="575" spans="2:28" ht="9.75" customHeight="1" x14ac:dyDescent="0.2">
      <c r="B575" s="280"/>
      <c r="C575" s="84"/>
      <c r="D575" s="86"/>
      <c r="E575" s="88"/>
      <c r="F575" s="88"/>
      <c r="G575" s="86"/>
      <c r="H575" s="88"/>
      <c r="I575" s="235"/>
      <c r="J575" s="288"/>
      <c r="K575" s="264"/>
      <c r="L575" s="265"/>
      <c r="M575" s="265"/>
      <c r="N575" s="265"/>
      <c r="O575" s="265"/>
      <c r="P575" s="264"/>
      <c r="Q575" s="265"/>
      <c r="R575" s="266"/>
      <c r="S575" s="266"/>
      <c r="T575" s="266"/>
      <c r="U575" s="288"/>
      <c r="V575" s="265"/>
      <c r="W575" s="288"/>
      <c r="X575" s="265"/>
      <c r="Y575" s="288"/>
      <c r="Z575" s="265"/>
    </row>
    <row r="576" spans="2:28" ht="5.25" customHeight="1" x14ac:dyDescent="0.2">
      <c r="B576" s="329"/>
      <c r="C576" s="347"/>
      <c r="D576" s="348"/>
      <c r="E576" s="97"/>
      <c r="F576" s="97"/>
      <c r="G576" s="348"/>
      <c r="H576" s="320"/>
      <c r="I576" s="349"/>
      <c r="J576" s="311"/>
      <c r="K576" s="311"/>
      <c r="L576" s="312"/>
      <c r="M576" s="312"/>
      <c r="N576" s="312"/>
      <c r="O576" s="312"/>
      <c r="P576" s="312"/>
      <c r="Q576" s="312"/>
      <c r="R576" s="312"/>
      <c r="S576" s="312"/>
      <c r="T576" s="313"/>
      <c r="U576" s="313"/>
      <c r="V576" s="312"/>
      <c r="W576" s="312"/>
      <c r="X576" s="313"/>
      <c r="Y576" s="310"/>
      <c r="Z576" s="312"/>
    </row>
    <row r="577" spans="2:26" ht="31.5" x14ac:dyDescent="0.2">
      <c r="B577" s="198" t="s">
        <v>19</v>
      </c>
      <c r="C577" s="302" t="s">
        <v>9</v>
      </c>
      <c r="D577" s="227" t="s">
        <v>135</v>
      </c>
      <c r="E577" s="227" t="s">
        <v>135</v>
      </c>
      <c r="F577" s="227" t="s">
        <v>135</v>
      </c>
      <c r="G577" s="227" t="s">
        <v>136</v>
      </c>
      <c r="H577" s="228" t="s">
        <v>135</v>
      </c>
      <c r="I577" s="332"/>
      <c r="J577" s="196" t="e">
        <f>J598+#REF!+#REF!+J587+J593+J584+J590</f>
        <v>#REF!</v>
      </c>
      <c r="K577" s="196" t="e">
        <f>K598+#REF!+#REF!+K587+K593+K584+K590</f>
        <v>#REF!</v>
      </c>
      <c r="L577" s="197">
        <f t="shared" ref="L577:X577" si="268">L598+L587+L593+L584+L590+L601+L581</f>
        <v>11262318.189999999</v>
      </c>
      <c r="M577" s="197">
        <f t="shared" si="268"/>
        <v>0</v>
      </c>
      <c r="N577" s="197">
        <f t="shared" si="268"/>
        <v>12197770.859999999</v>
      </c>
      <c r="O577" s="197">
        <f t="shared" si="268"/>
        <v>11263200.84</v>
      </c>
      <c r="P577" s="197">
        <f t="shared" si="268"/>
        <v>0</v>
      </c>
      <c r="Q577" s="197">
        <f>Q598+Q587+Q593+Q584+Q590+Q601+Q581</f>
        <v>0</v>
      </c>
      <c r="R577" s="197">
        <f>R598+R587+R593+R584+R590+R601+R581</f>
        <v>12197770.859999999</v>
      </c>
      <c r="S577" s="197">
        <f t="shared" si="268"/>
        <v>11263200.84</v>
      </c>
      <c r="T577" s="197">
        <f t="shared" si="268"/>
        <v>11463113.18</v>
      </c>
      <c r="U577" s="197">
        <f t="shared" si="268"/>
        <v>0</v>
      </c>
      <c r="V577" s="197">
        <f>V598+V587+V593+V584+V590+V601+V581</f>
        <v>0</v>
      </c>
      <c r="W577" s="197">
        <f>W598+W587+W593+W584+W590+W601+W581</f>
        <v>11263200.84</v>
      </c>
      <c r="X577" s="197">
        <f t="shared" si="268"/>
        <v>11463113.18</v>
      </c>
      <c r="Y577" s="196">
        <f>Y598+Y587+Y593+Y584+Y590+Y601+Y581</f>
        <v>0</v>
      </c>
      <c r="Z577" s="197">
        <f>Z598+Z587+Z593+Z584+Z590+Z601+Z581</f>
        <v>11463113.18</v>
      </c>
    </row>
    <row r="578" spans="2:26" ht="38.25" hidden="1" x14ac:dyDescent="0.2">
      <c r="B578" s="212" t="s">
        <v>189</v>
      </c>
      <c r="C578" s="77" t="s">
        <v>9</v>
      </c>
      <c r="D578" s="79" t="s">
        <v>135</v>
      </c>
      <c r="E578" s="66" t="s">
        <v>135</v>
      </c>
      <c r="F578" s="66" t="s">
        <v>135</v>
      </c>
      <c r="G578" s="126">
        <v>5082</v>
      </c>
      <c r="H578" s="67" t="s">
        <v>135</v>
      </c>
      <c r="I578" s="291"/>
      <c r="J578" s="209" t="e">
        <f t="shared" ref="J578:Y579" si="269">J579</f>
        <v>#REF!</v>
      </c>
      <c r="K578" s="209" t="e">
        <f t="shared" si="269"/>
        <v>#REF!</v>
      </c>
      <c r="L578" s="210" t="e">
        <f t="shared" si="269"/>
        <v>#REF!</v>
      </c>
      <c r="M578" s="210" t="e">
        <f t="shared" si="269"/>
        <v>#REF!</v>
      </c>
      <c r="N578" s="210" t="e">
        <f t="shared" si="269"/>
        <v>#REF!</v>
      </c>
      <c r="O578" s="210" t="e">
        <f t="shared" si="269"/>
        <v>#REF!</v>
      </c>
      <c r="P578" s="210" t="e">
        <f t="shared" si="269"/>
        <v>#REF!</v>
      </c>
      <c r="Q578" s="210" t="e">
        <f t="shared" si="269"/>
        <v>#REF!</v>
      </c>
      <c r="R578" s="210" t="e">
        <f t="shared" si="269"/>
        <v>#REF!</v>
      </c>
      <c r="S578" s="210" t="e">
        <f t="shared" si="269"/>
        <v>#REF!</v>
      </c>
      <c r="T578" s="211" t="e">
        <f t="shared" si="269"/>
        <v>#REF!</v>
      </c>
      <c r="U578" s="211" t="e">
        <f t="shared" si="269"/>
        <v>#REF!</v>
      </c>
      <c r="V578" s="210" t="e">
        <f t="shared" si="269"/>
        <v>#REF!</v>
      </c>
      <c r="W578" s="210" t="e">
        <f t="shared" si="269"/>
        <v>#REF!</v>
      </c>
      <c r="X578" s="211" t="e">
        <f t="shared" si="269"/>
        <v>#REF!</v>
      </c>
      <c r="Y578" s="118" t="e">
        <f t="shared" si="269"/>
        <v>#REF!</v>
      </c>
      <c r="Z578" s="210" t="e">
        <f>Z579</f>
        <v>#REF!</v>
      </c>
    </row>
    <row r="579" spans="2:26" ht="25.5" hidden="1" x14ac:dyDescent="0.2">
      <c r="B579" s="207" t="s">
        <v>187</v>
      </c>
      <c r="C579" s="103" t="s">
        <v>9</v>
      </c>
      <c r="D579" s="79" t="s">
        <v>135</v>
      </c>
      <c r="E579" s="66" t="s">
        <v>135</v>
      </c>
      <c r="F579" s="66" t="s">
        <v>135</v>
      </c>
      <c r="G579" s="126">
        <v>5082</v>
      </c>
      <c r="H579" s="67" t="s">
        <v>135</v>
      </c>
      <c r="I579" s="291" t="s">
        <v>160</v>
      </c>
      <c r="J579" s="209" t="e">
        <f t="shared" si="269"/>
        <v>#REF!</v>
      </c>
      <c r="K579" s="209" t="e">
        <f t="shared" si="269"/>
        <v>#REF!</v>
      </c>
      <c r="L579" s="210" t="e">
        <f t="shared" si="269"/>
        <v>#REF!</v>
      </c>
      <c r="M579" s="210" t="e">
        <f t="shared" si="269"/>
        <v>#REF!</v>
      </c>
      <c r="N579" s="210" t="e">
        <f t="shared" si="269"/>
        <v>#REF!</v>
      </c>
      <c r="O579" s="210" t="e">
        <f t="shared" si="269"/>
        <v>#REF!</v>
      </c>
      <c r="P579" s="210" t="e">
        <f t="shared" si="269"/>
        <v>#REF!</v>
      </c>
      <c r="Q579" s="210" t="e">
        <f t="shared" si="269"/>
        <v>#REF!</v>
      </c>
      <c r="R579" s="210" t="e">
        <f t="shared" si="269"/>
        <v>#REF!</v>
      </c>
      <c r="S579" s="210" t="e">
        <f t="shared" si="269"/>
        <v>#REF!</v>
      </c>
      <c r="T579" s="211" t="e">
        <f t="shared" si="269"/>
        <v>#REF!</v>
      </c>
      <c r="U579" s="211" t="e">
        <f t="shared" si="269"/>
        <v>#REF!</v>
      </c>
      <c r="V579" s="210" t="e">
        <f t="shared" si="269"/>
        <v>#REF!</v>
      </c>
      <c r="W579" s="210" t="e">
        <f t="shared" si="269"/>
        <v>#REF!</v>
      </c>
      <c r="X579" s="211" t="e">
        <f t="shared" si="269"/>
        <v>#REF!</v>
      </c>
      <c r="Y579" s="118" t="e">
        <f>Y580</f>
        <v>#REF!</v>
      </c>
      <c r="Z579" s="210" t="e">
        <f>Z580</f>
        <v>#REF!</v>
      </c>
    </row>
    <row r="580" spans="2:26" hidden="1" x14ac:dyDescent="0.2">
      <c r="B580" s="258" t="s">
        <v>162</v>
      </c>
      <c r="C580" s="77" t="s">
        <v>9</v>
      </c>
      <c r="D580" s="79" t="s">
        <v>135</v>
      </c>
      <c r="E580" s="66" t="s">
        <v>135</v>
      </c>
      <c r="F580" s="66" t="s">
        <v>135</v>
      </c>
      <c r="G580" s="126">
        <v>5082</v>
      </c>
      <c r="H580" s="67" t="s">
        <v>135</v>
      </c>
      <c r="I580" s="291" t="s">
        <v>161</v>
      </c>
      <c r="J580" s="209" t="e">
        <f>#REF!+#REF!</f>
        <v>#REF!</v>
      </c>
      <c r="K580" s="209" t="e">
        <f>#REF!+#REF!</f>
        <v>#REF!</v>
      </c>
      <c r="L580" s="210" t="e">
        <f>#REF!+#REF!</f>
        <v>#REF!</v>
      </c>
      <c r="M580" s="210" t="e">
        <f>#REF!+#REF!</f>
        <v>#REF!</v>
      </c>
      <c r="N580" s="210" t="e">
        <f>#REF!+#REF!</f>
        <v>#REF!</v>
      </c>
      <c r="O580" s="210" t="e">
        <f>#REF!+#REF!</f>
        <v>#REF!</v>
      </c>
      <c r="P580" s="210" t="e">
        <f>#REF!+#REF!</f>
        <v>#REF!</v>
      </c>
      <c r="Q580" s="210" t="e">
        <f>#REF!+#REF!</f>
        <v>#REF!</v>
      </c>
      <c r="R580" s="210" t="e">
        <f>#REF!+#REF!</f>
        <v>#REF!</v>
      </c>
      <c r="S580" s="210" t="e">
        <f>#REF!+#REF!</f>
        <v>#REF!</v>
      </c>
      <c r="T580" s="211" t="e">
        <f>#REF!+#REF!</f>
        <v>#REF!</v>
      </c>
      <c r="U580" s="211" t="e">
        <f>#REF!+#REF!</f>
        <v>#REF!</v>
      </c>
      <c r="V580" s="210" t="e">
        <f>#REF!+#REF!</f>
        <v>#REF!</v>
      </c>
      <c r="W580" s="210" t="e">
        <f>#REF!+#REF!</f>
        <v>#REF!</v>
      </c>
      <c r="X580" s="211" t="e">
        <f>#REF!+#REF!</f>
        <v>#REF!</v>
      </c>
      <c r="Y580" s="118" t="e">
        <f>#REF!+#REF!</f>
        <v>#REF!</v>
      </c>
      <c r="Z580" s="210" t="e">
        <f>#REF!+#REF!</f>
        <v>#REF!</v>
      </c>
    </row>
    <row r="581" spans="2:26" ht="13.5" customHeight="1" x14ac:dyDescent="0.2">
      <c r="B581" s="212" t="s">
        <v>263</v>
      </c>
      <c r="C581" s="77" t="s">
        <v>9</v>
      </c>
      <c r="D581" s="66" t="s">
        <v>135</v>
      </c>
      <c r="E581" s="66" t="s">
        <v>135</v>
      </c>
      <c r="F581" s="66" t="s">
        <v>135</v>
      </c>
      <c r="G581" s="66" t="s">
        <v>20</v>
      </c>
      <c r="H581" s="67" t="s">
        <v>135</v>
      </c>
      <c r="I581" s="214"/>
      <c r="J581" s="209">
        <f t="shared" ref="J581:Y582" si="270">J582</f>
        <v>4654000</v>
      </c>
      <c r="K581" s="209">
        <f t="shared" si="270"/>
        <v>0</v>
      </c>
      <c r="L581" s="210">
        <f t="shared" si="270"/>
        <v>5521011.9699999997</v>
      </c>
      <c r="M581" s="210">
        <f t="shared" si="270"/>
        <v>0</v>
      </c>
      <c r="N581" s="210">
        <f t="shared" si="270"/>
        <v>6456464.6399999997</v>
      </c>
      <c r="O581" s="210">
        <f t="shared" si="270"/>
        <v>5521011.9699999997</v>
      </c>
      <c r="P581" s="210">
        <f t="shared" si="270"/>
        <v>0</v>
      </c>
      <c r="Q581" s="210">
        <f t="shared" si="270"/>
        <v>0</v>
      </c>
      <c r="R581" s="210">
        <f t="shared" si="270"/>
        <v>6456464.6399999997</v>
      </c>
      <c r="S581" s="210">
        <f t="shared" si="270"/>
        <v>5521011.9699999997</v>
      </c>
      <c r="T581" s="211">
        <f t="shared" si="270"/>
        <v>5521011.9699999997</v>
      </c>
      <c r="U581" s="211">
        <f t="shared" si="270"/>
        <v>0</v>
      </c>
      <c r="V581" s="210">
        <f t="shared" si="270"/>
        <v>0</v>
      </c>
      <c r="W581" s="210">
        <f t="shared" si="270"/>
        <v>5521011.9699999997</v>
      </c>
      <c r="X581" s="211">
        <f t="shared" si="270"/>
        <v>5521011.9699999997</v>
      </c>
      <c r="Y581" s="118">
        <f t="shared" si="270"/>
        <v>0</v>
      </c>
      <c r="Z581" s="210">
        <f>Z582</f>
        <v>5521011.9699999997</v>
      </c>
    </row>
    <row r="582" spans="2:26" ht="27" customHeight="1" x14ac:dyDescent="0.2">
      <c r="B582" s="212" t="s">
        <v>56</v>
      </c>
      <c r="C582" s="103" t="s">
        <v>9</v>
      </c>
      <c r="D582" s="66" t="s">
        <v>135</v>
      </c>
      <c r="E582" s="66" t="s">
        <v>135</v>
      </c>
      <c r="F582" s="66" t="s">
        <v>135</v>
      </c>
      <c r="G582" s="66" t="s">
        <v>20</v>
      </c>
      <c r="H582" s="67" t="s">
        <v>135</v>
      </c>
      <c r="I582" s="214" t="s">
        <v>57</v>
      </c>
      <c r="J582" s="118">
        <f t="shared" si="270"/>
        <v>4654000</v>
      </c>
      <c r="K582" s="209">
        <f t="shared" si="270"/>
        <v>0</v>
      </c>
      <c r="L582" s="216">
        <f t="shared" si="270"/>
        <v>5521011.9699999997</v>
      </c>
      <c r="M582" s="216">
        <f t="shared" si="270"/>
        <v>0</v>
      </c>
      <c r="N582" s="216">
        <f t="shared" si="270"/>
        <v>6456464.6399999997</v>
      </c>
      <c r="O582" s="216">
        <f t="shared" si="270"/>
        <v>5521011.9699999997</v>
      </c>
      <c r="P582" s="216">
        <f t="shared" si="270"/>
        <v>0</v>
      </c>
      <c r="Q582" s="216">
        <f t="shared" si="270"/>
        <v>0</v>
      </c>
      <c r="R582" s="216">
        <f t="shared" si="270"/>
        <v>6456464.6399999997</v>
      </c>
      <c r="S582" s="216">
        <f t="shared" si="270"/>
        <v>5521011.9699999997</v>
      </c>
      <c r="T582" s="216">
        <f t="shared" si="270"/>
        <v>5521011.9699999997</v>
      </c>
      <c r="U582" s="216">
        <f t="shared" si="270"/>
        <v>0</v>
      </c>
      <c r="V582" s="216">
        <f t="shared" si="270"/>
        <v>0</v>
      </c>
      <c r="W582" s="216">
        <f t="shared" si="270"/>
        <v>5521011.9699999997</v>
      </c>
      <c r="X582" s="216">
        <f t="shared" si="270"/>
        <v>5521011.9699999997</v>
      </c>
      <c r="Y582" s="215">
        <f>Y583</f>
        <v>0</v>
      </c>
      <c r="Z582" s="216">
        <f>Z583</f>
        <v>5521011.9699999997</v>
      </c>
    </row>
    <row r="583" spans="2:26" ht="22.5" customHeight="1" x14ac:dyDescent="0.2">
      <c r="B583" s="362" t="s">
        <v>245</v>
      </c>
      <c r="C583" s="79" t="s">
        <v>9</v>
      </c>
      <c r="D583" s="66" t="s">
        <v>135</v>
      </c>
      <c r="E583" s="66" t="s">
        <v>135</v>
      </c>
      <c r="F583" s="66" t="s">
        <v>135</v>
      </c>
      <c r="G583" s="66" t="s">
        <v>20</v>
      </c>
      <c r="H583" s="67" t="s">
        <v>135</v>
      </c>
      <c r="I583" s="214" t="s">
        <v>244</v>
      </c>
      <c r="J583" s="68">
        <v>4654000</v>
      </c>
      <c r="K583" s="215">
        <v>0</v>
      </c>
      <c r="L583" s="216">
        <v>5521011.9699999997</v>
      </c>
      <c r="M583" s="216">
        <v>0</v>
      </c>
      <c r="N583" s="216">
        <v>6456464.6399999997</v>
      </c>
      <c r="O583" s="216">
        <v>5521011.9699999997</v>
      </c>
      <c r="P583" s="216">
        <v>0</v>
      </c>
      <c r="Q583" s="216">
        <v>0</v>
      </c>
      <c r="R583" s="216">
        <f>Q583+N583</f>
        <v>6456464.6399999997</v>
      </c>
      <c r="S583" s="216">
        <v>5521011.9699999997</v>
      </c>
      <c r="T583" s="216">
        <v>5521011.9699999997</v>
      </c>
      <c r="U583" s="216">
        <v>0</v>
      </c>
      <c r="V583" s="216">
        <v>0</v>
      </c>
      <c r="W583" s="216">
        <v>5521011.9699999997</v>
      </c>
      <c r="X583" s="216">
        <v>5521011.9699999997</v>
      </c>
      <c r="Y583" s="215">
        <v>0</v>
      </c>
      <c r="Z583" s="216">
        <v>5521011.9699999997</v>
      </c>
    </row>
    <row r="584" spans="2:26" ht="51" x14ac:dyDescent="0.2">
      <c r="B584" s="212" t="s">
        <v>294</v>
      </c>
      <c r="C584" s="103" t="s">
        <v>9</v>
      </c>
      <c r="D584" s="66" t="s">
        <v>135</v>
      </c>
      <c r="E584" s="66" t="s">
        <v>135</v>
      </c>
      <c r="F584" s="66" t="s">
        <v>135</v>
      </c>
      <c r="G584" s="66" t="s">
        <v>293</v>
      </c>
      <c r="H584" s="67" t="s">
        <v>135</v>
      </c>
      <c r="I584" s="309"/>
      <c r="J584" s="209">
        <f t="shared" ref="J584:Y585" si="271">J585</f>
        <v>336382.86</v>
      </c>
      <c r="K584" s="209">
        <f t="shared" si="271"/>
        <v>0</v>
      </c>
      <c r="L584" s="210">
        <f t="shared" si="271"/>
        <v>533016</v>
      </c>
      <c r="M584" s="210">
        <f t="shared" si="271"/>
        <v>0</v>
      </c>
      <c r="N584" s="210">
        <f t="shared" si="271"/>
        <v>533016</v>
      </c>
      <c r="O584" s="210">
        <f t="shared" si="271"/>
        <v>438048</v>
      </c>
      <c r="P584" s="210">
        <f t="shared" si="271"/>
        <v>0</v>
      </c>
      <c r="Q584" s="210">
        <f t="shared" si="271"/>
        <v>0</v>
      </c>
      <c r="R584" s="210">
        <f t="shared" si="271"/>
        <v>533016</v>
      </c>
      <c r="S584" s="210">
        <f t="shared" si="271"/>
        <v>438048</v>
      </c>
      <c r="T584" s="211">
        <f t="shared" si="271"/>
        <v>438048</v>
      </c>
      <c r="U584" s="211">
        <f t="shared" si="271"/>
        <v>0</v>
      </c>
      <c r="V584" s="210">
        <f t="shared" si="271"/>
        <v>0</v>
      </c>
      <c r="W584" s="210">
        <f t="shared" si="271"/>
        <v>438048</v>
      </c>
      <c r="X584" s="211">
        <f t="shared" si="271"/>
        <v>438048</v>
      </c>
      <c r="Y584" s="118">
        <f t="shared" si="271"/>
        <v>0</v>
      </c>
      <c r="Z584" s="210">
        <f>Z585</f>
        <v>438048</v>
      </c>
    </row>
    <row r="585" spans="2:26" x14ac:dyDescent="0.2">
      <c r="B585" s="212" t="s">
        <v>56</v>
      </c>
      <c r="C585" s="77" t="s">
        <v>9</v>
      </c>
      <c r="D585" s="66" t="s">
        <v>135</v>
      </c>
      <c r="E585" s="66" t="s">
        <v>135</v>
      </c>
      <c r="F585" s="66" t="s">
        <v>135</v>
      </c>
      <c r="G585" s="66" t="s">
        <v>293</v>
      </c>
      <c r="H585" s="67" t="s">
        <v>135</v>
      </c>
      <c r="I585" s="309" t="s">
        <v>57</v>
      </c>
      <c r="J585" s="209">
        <f t="shared" si="271"/>
        <v>336382.86</v>
      </c>
      <c r="K585" s="209">
        <f t="shared" si="271"/>
        <v>0</v>
      </c>
      <c r="L585" s="216">
        <f t="shared" si="271"/>
        <v>533016</v>
      </c>
      <c r="M585" s="216">
        <f t="shared" si="271"/>
        <v>0</v>
      </c>
      <c r="N585" s="216">
        <f t="shared" si="271"/>
        <v>533016</v>
      </c>
      <c r="O585" s="216">
        <f t="shared" si="271"/>
        <v>438048</v>
      </c>
      <c r="P585" s="216">
        <f t="shared" si="271"/>
        <v>0</v>
      </c>
      <c r="Q585" s="216">
        <f t="shared" si="271"/>
        <v>0</v>
      </c>
      <c r="R585" s="216">
        <f t="shared" si="271"/>
        <v>533016</v>
      </c>
      <c r="S585" s="216">
        <f t="shared" si="271"/>
        <v>438048</v>
      </c>
      <c r="T585" s="216">
        <f t="shared" si="271"/>
        <v>438048</v>
      </c>
      <c r="U585" s="216">
        <f t="shared" si="271"/>
        <v>0</v>
      </c>
      <c r="V585" s="216">
        <f t="shared" si="271"/>
        <v>0</v>
      </c>
      <c r="W585" s="216">
        <f t="shared" si="271"/>
        <v>438048</v>
      </c>
      <c r="X585" s="216">
        <f t="shared" si="271"/>
        <v>438048</v>
      </c>
      <c r="Y585" s="215">
        <f>Y586</f>
        <v>0</v>
      </c>
      <c r="Z585" s="216">
        <f>Z586</f>
        <v>438048</v>
      </c>
    </row>
    <row r="586" spans="2:26" ht="25.5" x14ac:dyDescent="0.2">
      <c r="B586" s="212" t="s">
        <v>58</v>
      </c>
      <c r="C586" s="103" t="s">
        <v>9</v>
      </c>
      <c r="D586" s="66" t="s">
        <v>135</v>
      </c>
      <c r="E586" s="66" t="s">
        <v>135</v>
      </c>
      <c r="F586" s="66" t="s">
        <v>135</v>
      </c>
      <c r="G586" s="66" t="s">
        <v>293</v>
      </c>
      <c r="H586" s="67" t="s">
        <v>135</v>
      </c>
      <c r="I586" s="309" t="s">
        <v>59</v>
      </c>
      <c r="J586" s="215">
        <v>336382.86</v>
      </c>
      <c r="K586" s="215">
        <v>0</v>
      </c>
      <c r="L586" s="216">
        <v>533016</v>
      </c>
      <c r="M586" s="216">
        <v>0</v>
      </c>
      <c r="N586" s="216">
        <v>533016</v>
      </c>
      <c r="O586" s="216">
        <v>438048</v>
      </c>
      <c r="P586" s="216">
        <v>0</v>
      </c>
      <c r="Q586" s="216">
        <v>0</v>
      </c>
      <c r="R586" s="216">
        <v>533016</v>
      </c>
      <c r="S586" s="216">
        <v>438048</v>
      </c>
      <c r="T586" s="216">
        <v>438048</v>
      </c>
      <c r="U586" s="216">
        <v>0</v>
      </c>
      <c r="V586" s="216">
        <v>0</v>
      </c>
      <c r="W586" s="216">
        <v>438048</v>
      </c>
      <c r="X586" s="216">
        <v>438048</v>
      </c>
      <c r="Y586" s="215">
        <v>0</v>
      </c>
      <c r="Z586" s="216">
        <v>438048</v>
      </c>
    </row>
    <row r="587" spans="2:26" ht="51" hidden="1" x14ac:dyDescent="0.2">
      <c r="B587" s="212" t="s">
        <v>159</v>
      </c>
      <c r="C587" s="77" t="s">
        <v>9</v>
      </c>
      <c r="D587" s="79" t="s">
        <v>135</v>
      </c>
      <c r="E587" s="66" t="s">
        <v>135</v>
      </c>
      <c r="F587" s="66" t="s">
        <v>135</v>
      </c>
      <c r="G587" s="126">
        <v>7877</v>
      </c>
      <c r="H587" s="67" t="s">
        <v>135</v>
      </c>
      <c r="I587" s="291"/>
      <c r="J587" s="209">
        <f t="shared" ref="J587:Y588" si="272">J588</f>
        <v>0</v>
      </c>
      <c r="K587" s="209">
        <f t="shared" si="272"/>
        <v>0</v>
      </c>
      <c r="L587" s="210">
        <f t="shared" si="272"/>
        <v>0</v>
      </c>
      <c r="M587" s="210">
        <f t="shared" si="272"/>
        <v>0</v>
      </c>
      <c r="N587" s="210">
        <f t="shared" si="272"/>
        <v>0</v>
      </c>
      <c r="O587" s="210">
        <f t="shared" si="272"/>
        <v>0</v>
      </c>
      <c r="P587" s="210">
        <f t="shared" si="272"/>
        <v>0</v>
      </c>
      <c r="Q587" s="210">
        <f t="shared" si="272"/>
        <v>0</v>
      </c>
      <c r="R587" s="210">
        <f t="shared" si="272"/>
        <v>0</v>
      </c>
      <c r="S587" s="210">
        <f t="shared" si="272"/>
        <v>0</v>
      </c>
      <c r="T587" s="211">
        <f t="shared" si="272"/>
        <v>0</v>
      </c>
      <c r="U587" s="211">
        <f t="shared" si="272"/>
        <v>0</v>
      </c>
      <c r="V587" s="210">
        <f t="shared" si="272"/>
        <v>0</v>
      </c>
      <c r="W587" s="210">
        <f t="shared" si="272"/>
        <v>0</v>
      </c>
      <c r="X587" s="211">
        <f t="shared" si="272"/>
        <v>0</v>
      </c>
      <c r="Y587" s="118">
        <f t="shared" si="272"/>
        <v>0</v>
      </c>
      <c r="Z587" s="210">
        <f>Z588</f>
        <v>0</v>
      </c>
    </row>
    <row r="588" spans="2:26" ht="25.5" hidden="1" x14ac:dyDescent="0.2">
      <c r="B588" s="207" t="s">
        <v>187</v>
      </c>
      <c r="C588" s="103" t="s">
        <v>9</v>
      </c>
      <c r="D588" s="79" t="s">
        <v>135</v>
      </c>
      <c r="E588" s="66" t="s">
        <v>135</v>
      </c>
      <c r="F588" s="66" t="s">
        <v>135</v>
      </c>
      <c r="G588" s="126">
        <v>7877</v>
      </c>
      <c r="H588" s="67" t="s">
        <v>135</v>
      </c>
      <c r="I588" s="291" t="s">
        <v>160</v>
      </c>
      <c r="J588" s="209">
        <f t="shared" si="272"/>
        <v>0</v>
      </c>
      <c r="K588" s="209">
        <f t="shared" si="272"/>
        <v>0</v>
      </c>
      <c r="L588" s="210">
        <f t="shared" si="272"/>
        <v>0</v>
      </c>
      <c r="M588" s="210">
        <f t="shared" si="272"/>
        <v>0</v>
      </c>
      <c r="N588" s="210">
        <f t="shared" si="272"/>
        <v>0</v>
      </c>
      <c r="O588" s="210">
        <f t="shared" si="272"/>
        <v>0</v>
      </c>
      <c r="P588" s="210">
        <f t="shared" si="272"/>
        <v>0</v>
      </c>
      <c r="Q588" s="210">
        <f t="shared" si="272"/>
        <v>0</v>
      </c>
      <c r="R588" s="210">
        <f t="shared" si="272"/>
        <v>0</v>
      </c>
      <c r="S588" s="210">
        <f t="shared" si="272"/>
        <v>0</v>
      </c>
      <c r="T588" s="211">
        <f t="shared" si="272"/>
        <v>0</v>
      </c>
      <c r="U588" s="211">
        <f t="shared" si="272"/>
        <v>0</v>
      </c>
      <c r="V588" s="210">
        <f t="shared" si="272"/>
        <v>0</v>
      </c>
      <c r="W588" s="210">
        <f t="shared" si="272"/>
        <v>0</v>
      </c>
      <c r="X588" s="211">
        <f t="shared" si="272"/>
        <v>0</v>
      </c>
      <c r="Y588" s="118">
        <f>Y589</f>
        <v>0</v>
      </c>
      <c r="Z588" s="210">
        <f>Z589</f>
        <v>0</v>
      </c>
    </row>
    <row r="589" spans="2:26" hidden="1" x14ac:dyDescent="0.2">
      <c r="B589" s="258" t="s">
        <v>162</v>
      </c>
      <c r="C589" s="77" t="s">
        <v>9</v>
      </c>
      <c r="D589" s="79" t="s">
        <v>135</v>
      </c>
      <c r="E589" s="66" t="s">
        <v>135</v>
      </c>
      <c r="F589" s="66" t="s">
        <v>135</v>
      </c>
      <c r="G589" s="126">
        <v>7877</v>
      </c>
      <c r="H589" s="67" t="s">
        <v>135</v>
      </c>
      <c r="I589" s="291" t="s">
        <v>161</v>
      </c>
      <c r="J589" s="209">
        <v>0</v>
      </c>
      <c r="K589" s="209">
        <v>0</v>
      </c>
      <c r="L589" s="210">
        <v>0</v>
      </c>
      <c r="M589" s="210">
        <v>0</v>
      </c>
      <c r="N589" s="210">
        <v>0</v>
      </c>
      <c r="O589" s="210">
        <v>0</v>
      </c>
      <c r="P589" s="210">
        <v>0</v>
      </c>
      <c r="Q589" s="210">
        <v>0</v>
      </c>
      <c r="R589" s="210">
        <v>0</v>
      </c>
      <c r="S589" s="210">
        <v>0</v>
      </c>
      <c r="T589" s="211">
        <v>0</v>
      </c>
      <c r="U589" s="211">
        <v>0</v>
      </c>
      <c r="V589" s="210">
        <v>0</v>
      </c>
      <c r="W589" s="210">
        <v>0</v>
      </c>
      <c r="X589" s="211">
        <v>0</v>
      </c>
      <c r="Y589" s="118">
        <v>0</v>
      </c>
      <c r="Z589" s="210">
        <v>0</v>
      </c>
    </row>
    <row r="590" spans="2:26" ht="51" hidden="1" x14ac:dyDescent="0.2">
      <c r="B590" s="212" t="s">
        <v>159</v>
      </c>
      <c r="C590" s="77" t="s">
        <v>9</v>
      </c>
      <c r="D590" s="79" t="s">
        <v>135</v>
      </c>
      <c r="E590" s="66" t="s">
        <v>135</v>
      </c>
      <c r="F590" s="66" t="s">
        <v>135</v>
      </c>
      <c r="G590" s="126">
        <v>7877</v>
      </c>
      <c r="H590" s="67" t="s">
        <v>135</v>
      </c>
      <c r="I590" s="260"/>
      <c r="J590" s="209">
        <f t="shared" ref="J590:Y591" si="273">J591</f>
        <v>770417.47</v>
      </c>
      <c r="K590" s="209">
        <f t="shared" si="273"/>
        <v>0</v>
      </c>
      <c r="L590" s="216">
        <f t="shared" si="273"/>
        <v>0</v>
      </c>
      <c r="M590" s="216">
        <f t="shared" si="273"/>
        <v>0</v>
      </c>
      <c r="N590" s="216">
        <f t="shared" si="273"/>
        <v>0</v>
      </c>
      <c r="O590" s="216">
        <f t="shared" si="273"/>
        <v>0</v>
      </c>
      <c r="P590" s="216">
        <f t="shared" si="273"/>
        <v>0</v>
      </c>
      <c r="Q590" s="216">
        <f t="shared" si="273"/>
        <v>0</v>
      </c>
      <c r="R590" s="216">
        <f t="shared" si="273"/>
        <v>0</v>
      </c>
      <c r="S590" s="216">
        <f t="shared" si="273"/>
        <v>0</v>
      </c>
      <c r="T590" s="217">
        <f t="shared" si="273"/>
        <v>0</v>
      </c>
      <c r="U590" s="217">
        <f t="shared" si="273"/>
        <v>0</v>
      </c>
      <c r="V590" s="216">
        <f t="shared" si="273"/>
        <v>0</v>
      </c>
      <c r="W590" s="216">
        <f t="shared" si="273"/>
        <v>0</v>
      </c>
      <c r="X590" s="217">
        <f t="shared" si="273"/>
        <v>0</v>
      </c>
      <c r="Y590" s="68">
        <f t="shared" si="273"/>
        <v>0</v>
      </c>
      <c r="Z590" s="216">
        <f>Z591</f>
        <v>0</v>
      </c>
    </row>
    <row r="591" spans="2:26" ht="25.5" hidden="1" x14ac:dyDescent="0.2">
      <c r="B591" s="207" t="s">
        <v>187</v>
      </c>
      <c r="C591" s="103" t="s">
        <v>9</v>
      </c>
      <c r="D591" s="79" t="s">
        <v>135</v>
      </c>
      <c r="E591" s="66" t="s">
        <v>135</v>
      </c>
      <c r="F591" s="66" t="s">
        <v>135</v>
      </c>
      <c r="G591" s="126">
        <v>7877</v>
      </c>
      <c r="H591" s="67" t="s">
        <v>135</v>
      </c>
      <c r="I591" s="260" t="s">
        <v>160</v>
      </c>
      <c r="J591" s="209">
        <f t="shared" si="273"/>
        <v>770417.47</v>
      </c>
      <c r="K591" s="209">
        <f t="shared" si="273"/>
        <v>0</v>
      </c>
      <c r="L591" s="216">
        <f t="shared" si="273"/>
        <v>0</v>
      </c>
      <c r="M591" s="216">
        <f t="shared" si="273"/>
        <v>0</v>
      </c>
      <c r="N591" s="216">
        <f t="shared" si="273"/>
        <v>0</v>
      </c>
      <c r="O591" s="216">
        <f t="shared" si="273"/>
        <v>0</v>
      </c>
      <c r="P591" s="216">
        <f t="shared" si="273"/>
        <v>0</v>
      </c>
      <c r="Q591" s="216">
        <f t="shared" si="273"/>
        <v>0</v>
      </c>
      <c r="R591" s="216">
        <f t="shared" si="273"/>
        <v>0</v>
      </c>
      <c r="S591" s="216">
        <f t="shared" si="273"/>
        <v>0</v>
      </c>
      <c r="T591" s="217">
        <f t="shared" si="273"/>
        <v>0</v>
      </c>
      <c r="U591" s="217">
        <f t="shared" si="273"/>
        <v>0</v>
      </c>
      <c r="V591" s="216">
        <f t="shared" si="273"/>
        <v>0</v>
      </c>
      <c r="W591" s="216">
        <f t="shared" si="273"/>
        <v>0</v>
      </c>
      <c r="X591" s="217">
        <f t="shared" si="273"/>
        <v>0</v>
      </c>
      <c r="Y591" s="68">
        <f>Y592</f>
        <v>0</v>
      </c>
      <c r="Z591" s="216">
        <f>Z592</f>
        <v>0</v>
      </c>
    </row>
    <row r="592" spans="2:26" hidden="1" x14ac:dyDescent="0.2">
      <c r="B592" s="258" t="s">
        <v>162</v>
      </c>
      <c r="C592" s="77" t="s">
        <v>9</v>
      </c>
      <c r="D592" s="79" t="s">
        <v>135</v>
      </c>
      <c r="E592" s="66" t="s">
        <v>135</v>
      </c>
      <c r="F592" s="66" t="s">
        <v>135</v>
      </c>
      <c r="G592" s="126">
        <v>7877</v>
      </c>
      <c r="H592" s="67" t="s">
        <v>135</v>
      </c>
      <c r="I592" s="260" t="s">
        <v>161</v>
      </c>
      <c r="J592" s="215">
        <v>770417.47</v>
      </c>
      <c r="K592" s="215">
        <v>0</v>
      </c>
      <c r="L592" s="216"/>
      <c r="M592" s="216"/>
      <c r="N592" s="216"/>
      <c r="O592" s="216"/>
      <c r="P592" s="216"/>
      <c r="Q592" s="216"/>
      <c r="R592" s="216"/>
      <c r="S592" s="216"/>
      <c r="T592" s="217"/>
      <c r="U592" s="217"/>
      <c r="V592" s="216"/>
      <c r="W592" s="216"/>
      <c r="X592" s="217"/>
      <c r="Y592" s="68"/>
      <c r="Z592" s="216"/>
    </row>
    <row r="593" spans="2:26" ht="25.5" x14ac:dyDescent="0.2">
      <c r="B593" s="212" t="s">
        <v>106</v>
      </c>
      <c r="C593" s="117" t="s">
        <v>9</v>
      </c>
      <c r="D593" s="72" t="s">
        <v>135</v>
      </c>
      <c r="E593" s="72" t="s">
        <v>135</v>
      </c>
      <c r="F593" s="72" t="s">
        <v>135</v>
      </c>
      <c r="G593" s="72" t="s">
        <v>283</v>
      </c>
      <c r="H593" s="67" t="s">
        <v>133</v>
      </c>
      <c r="I593" s="214"/>
      <c r="J593" s="209">
        <f t="shared" ref="J593:X593" si="274">J594+J596</f>
        <v>4544586.09</v>
      </c>
      <c r="K593" s="209">
        <f t="shared" si="274"/>
        <v>0</v>
      </c>
      <c r="L593" s="210">
        <f t="shared" si="274"/>
        <v>5208290.22</v>
      </c>
      <c r="M593" s="210">
        <f t="shared" si="274"/>
        <v>0</v>
      </c>
      <c r="N593" s="210">
        <f t="shared" si="274"/>
        <v>5208290.22</v>
      </c>
      <c r="O593" s="210">
        <f t="shared" si="274"/>
        <v>5304140.8699999992</v>
      </c>
      <c r="P593" s="210">
        <f t="shared" si="274"/>
        <v>0</v>
      </c>
      <c r="Q593" s="210">
        <f>Q594+Q596</f>
        <v>0</v>
      </c>
      <c r="R593" s="210">
        <f>R594+R596</f>
        <v>5208290.22</v>
      </c>
      <c r="S593" s="210">
        <f t="shared" si="274"/>
        <v>5304140.8699999992</v>
      </c>
      <c r="T593" s="211">
        <f t="shared" si="274"/>
        <v>5504053.21</v>
      </c>
      <c r="U593" s="211">
        <f t="shared" si="274"/>
        <v>0</v>
      </c>
      <c r="V593" s="210">
        <f>V594+V596</f>
        <v>0</v>
      </c>
      <c r="W593" s="210">
        <f>W594+W596</f>
        <v>5304140.8699999992</v>
      </c>
      <c r="X593" s="211">
        <f t="shared" si="274"/>
        <v>5504053.21</v>
      </c>
      <c r="Y593" s="118">
        <f>Y594+Y596</f>
        <v>0</v>
      </c>
      <c r="Z593" s="210">
        <f>Z594+Z596</f>
        <v>5504053.21</v>
      </c>
    </row>
    <row r="594" spans="2:26" ht="51" x14ac:dyDescent="0.2">
      <c r="B594" s="212" t="s">
        <v>67</v>
      </c>
      <c r="C594" s="117" t="s">
        <v>9</v>
      </c>
      <c r="D594" s="72" t="s">
        <v>135</v>
      </c>
      <c r="E594" s="72" t="s">
        <v>135</v>
      </c>
      <c r="F594" s="72" t="s">
        <v>135</v>
      </c>
      <c r="G594" s="72" t="s">
        <v>283</v>
      </c>
      <c r="H594" s="67" t="s">
        <v>133</v>
      </c>
      <c r="I594" s="214">
        <v>100</v>
      </c>
      <c r="J594" s="209">
        <f t="shared" ref="J594:Z594" si="275">J595</f>
        <v>4418600</v>
      </c>
      <c r="K594" s="209">
        <f t="shared" si="275"/>
        <v>0</v>
      </c>
      <c r="L594" s="216">
        <f t="shared" si="275"/>
        <v>5069154.45</v>
      </c>
      <c r="M594" s="216">
        <f t="shared" si="275"/>
        <v>0</v>
      </c>
      <c r="N594" s="216">
        <f t="shared" si="275"/>
        <v>5069154.45</v>
      </c>
      <c r="O594" s="216">
        <f t="shared" si="275"/>
        <v>5161505.0999999996</v>
      </c>
      <c r="P594" s="216">
        <f t="shared" si="275"/>
        <v>0</v>
      </c>
      <c r="Q594" s="216">
        <f t="shared" si="275"/>
        <v>-59600</v>
      </c>
      <c r="R594" s="216">
        <f t="shared" si="275"/>
        <v>5009554.45</v>
      </c>
      <c r="S594" s="216">
        <f t="shared" si="275"/>
        <v>5161505.0999999996</v>
      </c>
      <c r="T594" s="216">
        <f t="shared" si="275"/>
        <v>5361417.4400000004</v>
      </c>
      <c r="U594" s="216">
        <f t="shared" si="275"/>
        <v>0</v>
      </c>
      <c r="V594" s="216">
        <f t="shared" si="275"/>
        <v>0</v>
      </c>
      <c r="W594" s="216">
        <f t="shared" si="275"/>
        <v>5161505.0999999996</v>
      </c>
      <c r="X594" s="216">
        <f t="shared" si="275"/>
        <v>5361417.4400000004</v>
      </c>
      <c r="Y594" s="215">
        <f t="shared" si="275"/>
        <v>0</v>
      </c>
      <c r="Z594" s="216">
        <f t="shared" si="275"/>
        <v>5361417.4400000004</v>
      </c>
    </row>
    <row r="595" spans="2:26" ht="25.5" x14ac:dyDescent="0.2">
      <c r="B595" s="212" t="s">
        <v>61</v>
      </c>
      <c r="C595" s="117" t="s">
        <v>9</v>
      </c>
      <c r="D595" s="72" t="s">
        <v>135</v>
      </c>
      <c r="E595" s="72" t="s">
        <v>135</v>
      </c>
      <c r="F595" s="72" t="s">
        <v>135</v>
      </c>
      <c r="G595" s="72" t="s">
        <v>283</v>
      </c>
      <c r="H595" s="67" t="s">
        <v>133</v>
      </c>
      <c r="I595" s="214">
        <v>120</v>
      </c>
      <c r="J595" s="215">
        <f>3287400+986800+144400</f>
        <v>4418600</v>
      </c>
      <c r="K595" s="215">
        <v>0</v>
      </c>
      <c r="L595" s="216">
        <f>3802607.09+1142347.36+124200</f>
        <v>5069154.45</v>
      </c>
      <c r="M595" s="216">
        <v>0</v>
      </c>
      <c r="N595" s="216">
        <f>3802607.09+1142347.36+124200</f>
        <v>5069154.45</v>
      </c>
      <c r="O595" s="216">
        <f>3934980.86+1182324.24+44200</f>
        <v>5161505.0999999996</v>
      </c>
      <c r="P595" s="216">
        <v>0</v>
      </c>
      <c r="Q595" s="216">
        <v>-59600</v>
      </c>
      <c r="R595" s="216">
        <f>N595+Q595</f>
        <v>5009554.45</v>
      </c>
      <c r="S595" s="216">
        <f>3934980.86+1182324.24+44200</f>
        <v>5161505.0999999996</v>
      </c>
      <c r="T595" s="216">
        <f>4037064.1+1213153.34+111200</f>
        <v>5361417.4400000004</v>
      </c>
      <c r="U595" s="216">
        <v>0</v>
      </c>
      <c r="V595" s="216">
        <v>0</v>
      </c>
      <c r="W595" s="216">
        <f>3934980.86+1182324.24+44200</f>
        <v>5161505.0999999996</v>
      </c>
      <c r="X595" s="216">
        <f>4037064.1+1213153.34+111200</f>
        <v>5361417.4400000004</v>
      </c>
      <c r="Y595" s="215">
        <v>0</v>
      </c>
      <c r="Z595" s="216">
        <f>4037064.1+1213153.34+111200</f>
        <v>5361417.4400000004</v>
      </c>
    </row>
    <row r="596" spans="2:26" ht="25.5" x14ac:dyDescent="0.2">
      <c r="B596" s="212" t="s">
        <v>52</v>
      </c>
      <c r="C596" s="117" t="s">
        <v>9</v>
      </c>
      <c r="D596" s="72" t="s">
        <v>135</v>
      </c>
      <c r="E596" s="72" t="s">
        <v>135</v>
      </c>
      <c r="F596" s="72" t="s">
        <v>135</v>
      </c>
      <c r="G596" s="72" t="s">
        <v>283</v>
      </c>
      <c r="H596" s="67" t="s">
        <v>133</v>
      </c>
      <c r="I596" s="214">
        <v>200</v>
      </c>
      <c r="J596" s="215">
        <f t="shared" ref="J596:Z596" si="276">J597</f>
        <v>125986.09</v>
      </c>
      <c r="K596" s="215">
        <f t="shared" si="276"/>
        <v>0</v>
      </c>
      <c r="L596" s="216">
        <f t="shared" si="276"/>
        <v>139135.76999999999</v>
      </c>
      <c r="M596" s="216">
        <f t="shared" si="276"/>
        <v>0</v>
      </c>
      <c r="N596" s="216">
        <f t="shared" si="276"/>
        <v>139135.76999999999</v>
      </c>
      <c r="O596" s="216">
        <f t="shared" si="276"/>
        <v>142635.76999999999</v>
      </c>
      <c r="P596" s="216">
        <f t="shared" si="276"/>
        <v>0</v>
      </c>
      <c r="Q596" s="216">
        <f t="shared" si="276"/>
        <v>59600</v>
      </c>
      <c r="R596" s="216">
        <f t="shared" si="276"/>
        <v>198735.77</v>
      </c>
      <c r="S596" s="216">
        <f t="shared" si="276"/>
        <v>142635.76999999999</v>
      </c>
      <c r="T596" s="216">
        <f t="shared" si="276"/>
        <v>142635.76999999999</v>
      </c>
      <c r="U596" s="216">
        <f t="shared" si="276"/>
        <v>0</v>
      </c>
      <c r="V596" s="216">
        <f t="shared" si="276"/>
        <v>0</v>
      </c>
      <c r="W596" s="216">
        <f t="shared" si="276"/>
        <v>142635.76999999999</v>
      </c>
      <c r="X596" s="216">
        <f t="shared" si="276"/>
        <v>142635.76999999999</v>
      </c>
      <c r="Y596" s="215">
        <f t="shared" si="276"/>
        <v>0</v>
      </c>
      <c r="Z596" s="216">
        <f t="shared" si="276"/>
        <v>142635.76999999999</v>
      </c>
    </row>
    <row r="597" spans="2:26" ht="25.5" x14ac:dyDescent="0.2">
      <c r="B597" s="212" t="s">
        <v>54</v>
      </c>
      <c r="C597" s="117" t="s">
        <v>9</v>
      </c>
      <c r="D597" s="72" t="s">
        <v>135</v>
      </c>
      <c r="E597" s="72" t="s">
        <v>135</v>
      </c>
      <c r="F597" s="72" t="s">
        <v>135</v>
      </c>
      <c r="G597" s="72" t="s">
        <v>283</v>
      </c>
      <c r="H597" s="67" t="s">
        <v>133</v>
      </c>
      <c r="I597" s="214">
        <v>240</v>
      </c>
      <c r="J597" s="215">
        <v>125986.09</v>
      </c>
      <c r="K597" s="215">
        <v>0</v>
      </c>
      <c r="L597" s="216">
        <v>139135.76999999999</v>
      </c>
      <c r="M597" s="216">
        <v>0</v>
      </c>
      <c r="N597" s="216">
        <v>139135.76999999999</v>
      </c>
      <c r="O597" s="216">
        <v>142635.76999999999</v>
      </c>
      <c r="P597" s="216">
        <v>0</v>
      </c>
      <c r="Q597" s="216">
        <v>59600</v>
      </c>
      <c r="R597" s="216">
        <f>Q597+N597</f>
        <v>198735.77</v>
      </c>
      <c r="S597" s="216">
        <v>142635.76999999999</v>
      </c>
      <c r="T597" s="216">
        <v>142635.76999999999</v>
      </c>
      <c r="U597" s="216">
        <v>0</v>
      </c>
      <c r="V597" s="216">
        <v>0</v>
      </c>
      <c r="W597" s="216">
        <v>142635.76999999999</v>
      </c>
      <c r="X597" s="216">
        <v>142635.76999999999</v>
      </c>
      <c r="Y597" s="215">
        <v>0</v>
      </c>
      <c r="Z597" s="216">
        <v>142635.76999999999</v>
      </c>
    </row>
    <row r="598" spans="2:26" ht="38.25" hidden="1" x14ac:dyDescent="0.2">
      <c r="B598" s="212" t="s">
        <v>45</v>
      </c>
      <c r="C598" s="117" t="s">
        <v>9</v>
      </c>
      <c r="D598" s="72" t="s">
        <v>135</v>
      </c>
      <c r="E598" s="72" t="s">
        <v>135</v>
      </c>
      <c r="F598" s="72" t="s">
        <v>135</v>
      </c>
      <c r="G598" s="72" t="s">
        <v>68</v>
      </c>
      <c r="H598" s="67" t="s">
        <v>135</v>
      </c>
      <c r="I598" s="214"/>
      <c r="J598" s="209">
        <f t="shared" ref="J598:Y599" si="277">J599</f>
        <v>0</v>
      </c>
      <c r="K598" s="209">
        <f t="shared" si="277"/>
        <v>0</v>
      </c>
      <c r="L598" s="210">
        <f t="shared" si="277"/>
        <v>0</v>
      </c>
      <c r="M598" s="210">
        <f t="shared" si="277"/>
        <v>0</v>
      </c>
      <c r="N598" s="210">
        <f t="shared" si="277"/>
        <v>0</v>
      </c>
      <c r="O598" s="210">
        <f t="shared" si="277"/>
        <v>0</v>
      </c>
      <c r="P598" s="210">
        <f t="shared" si="277"/>
        <v>0</v>
      </c>
      <c r="Q598" s="210">
        <f t="shared" si="277"/>
        <v>0</v>
      </c>
      <c r="R598" s="210">
        <f t="shared" si="277"/>
        <v>0</v>
      </c>
      <c r="S598" s="210">
        <f t="shared" si="277"/>
        <v>0</v>
      </c>
      <c r="T598" s="211">
        <f t="shared" si="277"/>
        <v>0</v>
      </c>
      <c r="U598" s="211">
        <f t="shared" si="277"/>
        <v>0</v>
      </c>
      <c r="V598" s="210">
        <f t="shared" si="277"/>
        <v>0</v>
      </c>
      <c r="W598" s="210">
        <f t="shared" si="277"/>
        <v>0</v>
      </c>
      <c r="X598" s="211">
        <f t="shared" si="277"/>
        <v>0</v>
      </c>
      <c r="Y598" s="118">
        <f t="shared" si="277"/>
        <v>0</v>
      </c>
      <c r="Z598" s="210">
        <f>Z599</f>
        <v>0</v>
      </c>
    </row>
    <row r="599" spans="2:26" hidden="1" x14ac:dyDescent="0.2">
      <c r="B599" s="212" t="s">
        <v>56</v>
      </c>
      <c r="C599" s="299" t="s">
        <v>9</v>
      </c>
      <c r="D599" s="72" t="s">
        <v>135</v>
      </c>
      <c r="E599" s="72" t="s">
        <v>135</v>
      </c>
      <c r="F599" s="72" t="s">
        <v>135</v>
      </c>
      <c r="G599" s="72" t="s">
        <v>68</v>
      </c>
      <c r="H599" s="67" t="s">
        <v>135</v>
      </c>
      <c r="I599" s="214" t="s">
        <v>57</v>
      </c>
      <c r="J599" s="209">
        <f t="shared" si="277"/>
        <v>0</v>
      </c>
      <c r="K599" s="209">
        <f t="shared" si="277"/>
        <v>0</v>
      </c>
      <c r="L599" s="210">
        <f t="shared" si="277"/>
        <v>0</v>
      </c>
      <c r="M599" s="210">
        <f t="shared" si="277"/>
        <v>0</v>
      </c>
      <c r="N599" s="210">
        <f t="shared" si="277"/>
        <v>0</v>
      </c>
      <c r="O599" s="210">
        <f t="shared" si="277"/>
        <v>0</v>
      </c>
      <c r="P599" s="210">
        <f t="shared" si="277"/>
        <v>0</v>
      </c>
      <c r="Q599" s="210">
        <f t="shared" si="277"/>
        <v>0</v>
      </c>
      <c r="R599" s="210">
        <f t="shared" si="277"/>
        <v>0</v>
      </c>
      <c r="S599" s="210">
        <f t="shared" si="277"/>
        <v>0</v>
      </c>
      <c r="T599" s="211">
        <f t="shared" si="277"/>
        <v>0</v>
      </c>
      <c r="U599" s="211">
        <f t="shared" si="277"/>
        <v>0</v>
      </c>
      <c r="V599" s="210">
        <f t="shared" si="277"/>
        <v>0</v>
      </c>
      <c r="W599" s="210">
        <f t="shared" si="277"/>
        <v>0</v>
      </c>
      <c r="X599" s="211">
        <f t="shared" si="277"/>
        <v>0</v>
      </c>
      <c r="Y599" s="118">
        <f>Y600</f>
        <v>0</v>
      </c>
      <c r="Z599" s="210">
        <f>Z600</f>
        <v>0</v>
      </c>
    </row>
    <row r="600" spans="2:26" ht="25.5" hidden="1" x14ac:dyDescent="0.2">
      <c r="B600" s="212" t="s">
        <v>58</v>
      </c>
      <c r="C600" s="117" t="s">
        <v>9</v>
      </c>
      <c r="D600" s="72" t="s">
        <v>135</v>
      </c>
      <c r="E600" s="72" t="s">
        <v>135</v>
      </c>
      <c r="F600" s="72" t="s">
        <v>135</v>
      </c>
      <c r="G600" s="72" t="s">
        <v>68</v>
      </c>
      <c r="H600" s="67" t="s">
        <v>135</v>
      </c>
      <c r="I600" s="214" t="s">
        <v>59</v>
      </c>
      <c r="J600" s="209">
        <v>0</v>
      </c>
      <c r="K600" s="209">
        <v>0</v>
      </c>
      <c r="L600" s="210">
        <v>0</v>
      </c>
      <c r="M600" s="210">
        <v>0</v>
      </c>
      <c r="N600" s="210">
        <v>0</v>
      </c>
      <c r="O600" s="210">
        <v>0</v>
      </c>
      <c r="P600" s="210">
        <v>0</v>
      </c>
      <c r="Q600" s="210">
        <v>0</v>
      </c>
      <c r="R600" s="210">
        <v>0</v>
      </c>
      <c r="S600" s="210">
        <v>0</v>
      </c>
      <c r="T600" s="211">
        <v>0</v>
      </c>
      <c r="U600" s="211">
        <v>0</v>
      </c>
      <c r="V600" s="210">
        <v>0</v>
      </c>
      <c r="W600" s="210">
        <v>0</v>
      </c>
      <c r="X600" s="211">
        <v>0</v>
      </c>
      <c r="Y600" s="118">
        <v>0</v>
      </c>
      <c r="Z600" s="210">
        <v>0</v>
      </c>
    </row>
    <row r="601" spans="2:26" ht="60" hidden="1" customHeight="1" x14ac:dyDescent="0.2">
      <c r="B601" s="362" t="s">
        <v>265</v>
      </c>
      <c r="C601" s="79" t="s">
        <v>9</v>
      </c>
      <c r="D601" s="79" t="s">
        <v>135</v>
      </c>
      <c r="E601" s="66" t="s">
        <v>135</v>
      </c>
      <c r="F601" s="66" t="s">
        <v>135</v>
      </c>
      <c r="G601" s="126" t="s">
        <v>158</v>
      </c>
      <c r="H601" s="67" t="s">
        <v>137</v>
      </c>
      <c r="I601" s="260"/>
      <c r="J601" s="91"/>
      <c r="K601" s="326"/>
      <c r="L601" s="216">
        <f t="shared" ref="L601:Z602" si="278">L602</f>
        <v>0</v>
      </c>
      <c r="M601" s="216">
        <f t="shared" si="278"/>
        <v>0</v>
      </c>
      <c r="N601" s="216">
        <f t="shared" si="278"/>
        <v>0</v>
      </c>
      <c r="O601" s="216">
        <f t="shared" si="278"/>
        <v>0</v>
      </c>
      <c r="P601" s="216">
        <f t="shared" si="278"/>
        <v>0</v>
      </c>
      <c r="Q601" s="216">
        <f t="shared" si="278"/>
        <v>0</v>
      </c>
      <c r="R601" s="216">
        <f t="shared" si="278"/>
        <v>0</v>
      </c>
      <c r="S601" s="216">
        <f t="shared" si="278"/>
        <v>0</v>
      </c>
      <c r="T601" s="217">
        <f t="shared" si="278"/>
        <v>0</v>
      </c>
      <c r="U601" s="217">
        <f t="shared" si="278"/>
        <v>0</v>
      </c>
      <c r="V601" s="216">
        <f t="shared" si="278"/>
        <v>0</v>
      </c>
      <c r="W601" s="216">
        <f t="shared" si="278"/>
        <v>0</v>
      </c>
      <c r="X601" s="217">
        <f t="shared" si="278"/>
        <v>0</v>
      </c>
      <c r="Y601" s="68">
        <f t="shared" si="278"/>
        <v>0</v>
      </c>
      <c r="Z601" s="216">
        <f t="shared" si="278"/>
        <v>0</v>
      </c>
    </row>
    <row r="602" spans="2:26" ht="27.75" hidden="1" customHeight="1" x14ac:dyDescent="0.2">
      <c r="B602" s="363" t="s">
        <v>187</v>
      </c>
      <c r="C602" s="66" t="s">
        <v>9</v>
      </c>
      <c r="D602" s="79" t="s">
        <v>135</v>
      </c>
      <c r="E602" s="66" t="s">
        <v>135</v>
      </c>
      <c r="F602" s="66" t="s">
        <v>135</v>
      </c>
      <c r="G602" s="126" t="s">
        <v>158</v>
      </c>
      <c r="H602" s="67" t="s">
        <v>137</v>
      </c>
      <c r="I602" s="260" t="s">
        <v>160</v>
      </c>
      <c r="J602" s="91"/>
      <c r="K602" s="326"/>
      <c r="L602" s="216">
        <f t="shared" si="278"/>
        <v>0</v>
      </c>
      <c r="M602" s="216">
        <f t="shared" si="278"/>
        <v>0</v>
      </c>
      <c r="N602" s="216">
        <f t="shared" si="278"/>
        <v>0</v>
      </c>
      <c r="O602" s="216">
        <f t="shared" si="278"/>
        <v>0</v>
      </c>
      <c r="P602" s="216">
        <f t="shared" si="278"/>
        <v>0</v>
      </c>
      <c r="Q602" s="216">
        <f t="shared" si="278"/>
        <v>0</v>
      </c>
      <c r="R602" s="216">
        <f t="shared" si="278"/>
        <v>0</v>
      </c>
      <c r="S602" s="216">
        <f t="shared" si="278"/>
        <v>0</v>
      </c>
      <c r="T602" s="217">
        <f t="shared" si="278"/>
        <v>0</v>
      </c>
      <c r="U602" s="217">
        <f t="shared" si="278"/>
        <v>0</v>
      </c>
      <c r="V602" s="216">
        <f t="shared" si="278"/>
        <v>0</v>
      </c>
      <c r="W602" s="216">
        <f t="shared" si="278"/>
        <v>0</v>
      </c>
      <c r="X602" s="217">
        <f t="shared" si="278"/>
        <v>0</v>
      </c>
      <c r="Y602" s="68">
        <f t="shared" si="278"/>
        <v>0</v>
      </c>
      <c r="Z602" s="216">
        <f t="shared" si="278"/>
        <v>0</v>
      </c>
    </row>
    <row r="603" spans="2:26" ht="27.75" hidden="1" customHeight="1" x14ac:dyDescent="0.2">
      <c r="B603" s="365" t="s">
        <v>162</v>
      </c>
      <c r="C603" s="86" t="s">
        <v>9</v>
      </c>
      <c r="D603" s="86" t="s">
        <v>135</v>
      </c>
      <c r="E603" s="88" t="s">
        <v>135</v>
      </c>
      <c r="F603" s="88" t="s">
        <v>135</v>
      </c>
      <c r="G603" s="350" t="s">
        <v>158</v>
      </c>
      <c r="H603" s="90" t="s">
        <v>137</v>
      </c>
      <c r="I603" s="235" t="s">
        <v>161</v>
      </c>
      <c r="J603" s="91"/>
      <c r="K603" s="326"/>
      <c r="L603" s="327"/>
      <c r="M603" s="327"/>
      <c r="N603" s="327"/>
      <c r="O603" s="327"/>
      <c r="P603" s="327"/>
      <c r="Q603" s="327"/>
      <c r="R603" s="327"/>
      <c r="S603" s="327"/>
      <c r="T603" s="328"/>
      <c r="U603" s="328"/>
      <c r="V603" s="327"/>
      <c r="W603" s="327"/>
      <c r="X603" s="328"/>
      <c r="Y603" s="91"/>
      <c r="Z603" s="327"/>
    </row>
    <row r="604" spans="2:26" ht="9" customHeight="1" x14ac:dyDescent="0.2">
      <c r="B604" s="280"/>
      <c r="C604" s="128"/>
      <c r="D604" s="261"/>
      <c r="E604" s="88"/>
      <c r="F604" s="88"/>
      <c r="G604" s="261"/>
      <c r="H604" s="261"/>
      <c r="I604" s="384"/>
      <c r="J604" s="91"/>
      <c r="K604" s="326"/>
      <c r="L604" s="327"/>
      <c r="M604" s="327"/>
      <c r="N604" s="327"/>
      <c r="O604" s="327"/>
      <c r="P604" s="327"/>
      <c r="Q604" s="327"/>
      <c r="R604" s="327"/>
      <c r="S604" s="327"/>
      <c r="T604" s="328"/>
      <c r="U604" s="328"/>
      <c r="V604" s="327"/>
      <c r="W604" s="327"/>
      <c r="X604" s="328"/>
      <c r="Y604" s="91"/>
      <c r="Z604" s="327"/>
    </row>
    <row r="605" spans="2:26" ht="24.75" customHeight="1" x14ac:dyDescent="0.2">
      <c r="B605" s="351" t="s">
        <v>246</v>
      </c>
      <c r="C605" s="232"/>
      <c r="D605" s="233"/>
      <c r="E605" s="144"/>
      <c r="F605" s="144"/>
      <c r="G605" s="350"/>
      <c r="H605" s="88"/>
      <c r="I605" s="235"/>
      <c r="J605" s="266"/>
      <c r="K605" s="264"/>
      <c r="L605" s="264"/>
      <c r="M605" s="264"/>
      <c r="N605" s="264"/>
      <c r="O605" s="460">
        <v>32000000</v>
      </c>
      <c r="P605" s="460">
        <v>0</v>
      </c>
      <c r="Q605" s="264"/>
      <c r="R605" s="264"/>
      <c r="S605" s="460">
        <v>32000000</v>
      </c>
      <c r="T605" s="461">
        <v>17000000</v>
      </c>
      <c r="U605" s="461">
        <v>0</v>
      </c>
      <c r="V605" s="460">
        <v>0</v>
      </c>
      <c r="W605" s="460">
        <v>32000000</v>
      </c>
      <c r="X605" s="461">
        <v>17000000</v>
      </c>
      <c r="Y605" s="538">
        <v>41000000</v>
      </c>
      <c r="Z605" s="460">
        <f>Y605+X605</f>
        <v>58000000</v>
      </c>
    </row>
    <row r="606" spans="2:26" ht="36.75" customHeight="1" x14ac:dyDescent="0.2">
      <c r="B606" s="352" t="s">
        <v>26</v>
      </c>
      <c r="C606" s="598"/>
      <c r="D606" s="599"/>
      <c r="E606" s="599"/>
      <c r="F606" s="599"/>
      <c r="G606" s="599"/>
      <c r="H606" s="599"/>
      <c r="I606" s="599"/>
      <c r="J606" s="353" t="e">
        <f>J432+J16</f>
        <v>#REF!</v>
      </c>
      <c r="K606" s="354" t="e">
        <f>K432+K16</f>
        <v>#REF!</v>
      </c>
      <c r="L606" s="354" t="e">
        <f>L432+L16</f>
        <v>#REF!</v>
      </c>
      <c r="M606" s="354" t="e">
        <f>M432+M16</f>
        <v>#REF!</v>
      </c>
      <c r="N606" s="354">
        <f>N432+N16</f>
        <v>2174743318.5500002</v>
      </c>
      <c r="O606" s="353">
        <f>O432+O16+O605</f>
        <v>2343405893.52</v>
      </c>
      <c r="P606" s="353">
        <f>P432+P16+P605</f>
        <v>26003251.860000003</v>
      </c>
      <c r="Q606" s="354">
        <f>Q432+Q16</f>
        <v>64219965.360000007</v>
      </c>
      <c r="R606" s="354">
        <f>R432+R16</f>
        <v>2238963283.9099998</v>
      </c>
      <c r="S606" s="353">
        <f t="shared" ref="S606:Z606" si="279">S432+S16+S605</f>
        <v>2199719661.5599999</v>
      </c>
      <c r="T606" s="355">
        <f t="shared" si="279"/>
        <v>2261179193.8600001</v>
      </c>
      <c r="U606" s="355">
        <f t="shared" si="279"/>
        <v>-12438806.76</v>
      </c>
      <c r="V606" s="353">
        <f t="shared" si="279"/>
        <v>14530458.219999999</v>
      </c>
      <c r="W606" s="353">
        <f t="shared" si="279"/>
        <v>2219530119.7800002</v>
      </c>
      <c r="X606" s="355">
        <f t="shared" si="279"/>
        <v>2125372518.4799995</v>
      </c>
      <c r="Y606" s="539">
        <f t="shared" si="279"/>
        <v>55027353.109999999</v>
      </c>
      <c r="Z606" s="353">
        <f t="shared" si="279"/>
        <v>2180399871.5900002</v>
      </c>
    </row>
    <row r="608" spans="2:26" x14ac:dyDescent="0.2">
      <c r="W608" s="358"/>
      <c r="X608" s="358">
        <f>X606-X605</f>
        <v>2108372518.4799995</v>
      </c>
      <c r="Y608" s="358">
        <f>Y606-Y605</f>
        <v>14027353.109999999</v>
      </c>
      <c r="Z608" s="358"/>
    </row>
    <row r="609" spans="1:20" x14ac:dyDescent="0.2">
      <c r="M609" s="486"/>
    </row>
    <row r="610" spans="1:20" x14ac:dyDescent="0.2">
      <c r="A610" s="169"/>
      <c r="J610" s="357"/>
      <c r="K610" s="357"/>
      <c r="L610" s="158"/>
      <c r="M610" s="158"/>
      <c r="N610" s="158"/>
      <c r="O610" s="158"/>
      <c r="P610" s="158"/>
      <c r="Q610" s="158"/>
      <c r="R610" s="158"/>
      <c r="S610" s="158"/>
      <c r="T610" s="158"/>
    </row>
    <row r="611" spans="1:20" x14ac:dyDescent="0.2">
      <c r="L611" s="358"/>
      <c r="M611" s="358"/>
      <c r="N611" s="358"/>
      <c r="O611" s="358"/>
      <c r="P611" s="358"/>
      <c r="Q611" s="358"/>
      <c r="R611" s="358"/>
      <c r="S611" s="358"/>
      <c r="T611" s="358"/>
    </row>
    <row r="612" spans="1:20" x14ac:dyDescent="0.2">
      <c r="L612" s="358"/>
      <c r="M612" s="358"/>
      <c r="N612" s="358"/>
      <c r="O612" s="358"/>
      <c r="P612" s="358"/>
      <c r="Q612" s="358"/>
      <c r="R612" s="358"/>
      <c r="S612" s="358"/>
      <c r="T612" s="358"/>
    </row>
    <row r="613" spans="1:20" x14ac:dyDescent="0.2">
      <c r="L613" s="358"/>
      <c r="M613" s="358"/>
      <c r="N613" s="358"/>
      <c r="O613" s="358"/>
      <c r="P613" s="358"/>
      <c r="Q613" s="358"/>
      <c r="R613" s="358"/>
      <c r="S613" s="358"/>
      <c r="T613" s="358"/>
    </row>
    <row r="614" spans="1:20" x14ac:dyDescent="0.2">
      <c r="I614" s="359"/>
      <c r="J614" s="360"/>
      <c r="K614" s="360"/>
      <c r="L614" s="360"/>
      <c r="M614" s="360"/>
      <c r="N614" s="360"/>
      <c r="O614" s="360"/>
      <c r="P614" s="360"/>
      <c r="Q614" s="360"/>
      <c r="R614" s="360"/>
      <c r="S614" s="360"/>
      <c r="T614" s="360"/>
    </row>
    <row r="615" spans="1:20" x14ac:dyDescent="0.2">
      <c r="I615" s="359"/>
      <c r="J615" s="360"/>
      <c r="K615" s="360"/>
      <c r="L615" s="118"/>
      <c r="M615" s="118"/>
      <c r="N615" s="118"/>
      <c r="O615" s="118"/>
      <c r="P615" s="118"/>
      <c r="Q615" s="118"/>
      <c r="R615" s="118"/>
      <c r="S615" s="118"/>
      <c r="T615" s="118"/>
    </row>
  </sheetData>
  <protectedRanges>
    <protectedRange sqref="B95" name="Диапазон1_3_2"/>
    <protectedRange sqref="B104" name="Диапазон1_3"/>
  </protectedRanges>
  <mergeCells count="13">
    <mergeCell ref="C606:I606"/>
    <mergeCell ref="C14:H14"/>
    <mergeCell ref="C12:H13"/>
    <mergeCell ref="B12:B13"/>
    <mergeCell ref="I12:I13"/>
    <mergeCell ref="B10:Z10"/>
    <mergeCell ref="J12:Z12"/>
    <mergeCell ref="I1:W1"/>
    <mergeCell ref="I2:W2"/>
    <mergeCell ref="J3:W3"/>
    <mergeCell ref="L6:W6"/>
    <mergeCell ref="L7:W7"/>
    <mergeCell ref="L8:W8"/>
  </mergeCells>
  <phoneticPr fontId="11" type="noConversion"/>
  <pageMargins left="0.74803149606299213" right="0.59055118110236227" top="0.31496062992125984" bottom="0.39370078740157483" header="0.31496062992125984" footer="0.51181102362204722"/>
  <pageSetup paperSize="9" scale="56" orientation="portrait" r:id="rId1"/>
  <headerFooter alignWithMargins="0">
    <oddFooter>&amp;C&amp;P</oddFooter>
  </headerFooter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РП</vt:lpstr>
      <vt:lpstr>Ведомственная структура</vt:lpstr>
      <vt:lpstr>программы</vt:lpstr>
      <vt:lpstr>'Ведомственная структура'!Область_печати</vt:lpstr>
      <vt:lpstr>программы!Область_печати</vt:lpstr>
      <vt:lpstr>РП!Область_печати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Ольга Балашова</cp:lastModifiedBy>
  <cp:lastPrinted>2024-06-03T09:31:18Z</cp:lastPrinted>
  <dcterms:created xsi:type="dcterms:W3CDTF">1996-10-08T23:32:33Z</dcterms:created>
  <dcterms:modified xsi:type="dcterms:W3CDTF">2024-06-03T09:34:52Z</dcterms:modified>
</cp:coreProperties>
</file>