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1820" windowHeight="5760" activeTab="2"/>
  </bookViews>
  <sheets>
    <sheet name="РП" sheetId="1" r:id="rId1"/>
    <sheet name="Ведомственная структура" sheetId="2" r:id="rId2"/>
    <sheet name="программы" sheetId="3" r:id="rId3"/>
  </sheets>
  <definedNames>
    <definedName name="_xlnm.Print_Area" localSheetId="1">'Ведомственная структура'!$A$1:$P$598</definedName>
    <definedName name="_xlnm.Print_Area" localSheetId="2">'программы'!$B$1:$N$457</definedName>
    <definedName name="_xlnm.Print_Area" localSheetId="0">'РП'!$A$1:$H$63</definedName>
  </definedNames>
  <calcPr fullCalcOnLoad="1" refMode="R1C1"/>
</workbook>
</file>

<file path=xl/sharedStrings.xml><?xml version="1.0" encoding="utf-8"?>
<sst xmlns="http://schemas.openxmlformats.org/spreadsheetml/2006/main" count="8541" uniqueCount="388">
  <si>
    <t>Выравнивание бюджетной обеспеченности поселений</t>
  </si>
  <si>
    <t>7801</t>
  </si>
  <si>
    <t>Дотации</t>
  </si>
  <si>
    <t>510</t>
  </si>
  <si>
    <t>8030</t>
  </si>
  <si>
    <t>8011</t>
  </si>
  <si>
    <t>15</t>
  </si>
  <si>
    <t>61</t>
  </si>
  <si>
    <t>62</t>
  </si>
  <si>
    <t>63</t>
  </si>
  <si>
    <t>64</t>
  </si>
  <si>
    <t>65</t>
  </si>
  <si>
    <t>66</t>
  </si>
  <si>
    <t>8033</t>
  </si>
  <si>
    <t>73</t>
  </si>
  <si>
    <t>Подпрограмма "Развитие сферы туризма в Пинежском муниципальном районе"</t>
  </si>
  <si>
    <t>Осуществление государственных полномочий по формированию торгового реестра</t>
  </si>
  <si>
    <t>Подпрограмма "Развитие сферы культуры в Пинежском муниципальном районе"</t>
  </si>
  <si>
    <t>Мероприятия в сфере культуры, искусства и туризма</t>
  </si>
  <si>
    <t>Мероприятия в сфере молодежной политики</t>
  </si>
  <si>
    <t>8007</t>
  </si>
  <si>
    <t>8003</t>
  </si>
  <si>
    <t>8009</t>
  </si>
  <si>
    <t>8019</t>
  </si>
  <si>
    <t>8012</t>
  </si>
  <si>
    <t>8013</t>
  </si>
  <si>
    <t>8010</t>
  </si>
  <si>
    <t>Непрограммные расходы в области социальной политики</t>
  </si>
  <si>
    <t>8015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</si>
  <si>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</si>
  <si>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</si>
  <si>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</si>
  <si>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5118</t>
  </si>
  <si>
    <t>Осуществление государственных полномочий по созданию комиссий по делам несовершеннолетних и защите их прав</t>
  </si>
  <si>
    <t>68</t>
  </si>
  <si>
    <t>Итого:</t>
  </si>
  <si>
    <t>8001</t>
  </si>
  <si>
    <t>Обеспечение функционирования Главы муниципального образования</t>
  </si>
  <si>
    <t>Обеспечение деятельности Собрания депутатов муниципального образования</t>
  </si>
  <si>
    <t>Председатель Собрания депутатов муниципального образования</t>
  </si>
  <si>
    <t>Расходы на содержание муниципальных органов и обеспечение их функций</t>
  </si>
  <si>
    <t>Собрание депутатов муниципального образования</t>
  </si>
  <si>
    <t xml:space="preserve">Обеспечение деятельности контрольно-счетной комиссии </t>
  </si>
  <si>
    <t>Обеспечение деятельности исполнительных органов местного самоуправления</t>
  </si>
  <si>
    <t>II. НЕПРОГРАММНЫЕ НАПРАВЛЕНИЯ ДЕЯТЕЛЬНОСТИ</t>
  </si>
  <si>
    <t>7870</t>
  </si>
  <si>
    <t>7869</t>
  </si>
  <si>
    <t>Непрограммные расходы в области национальной безопасности и правоохранительной деятельности</t>
  </si>
  <si>
    <t>Контрольно-счетная комиссия Пинежского муниципального района</t>
  </si>
  <si>
    <t>335</t>
  </si>
  <si>
    <t>Сельское хозяйство и рыболовство</t>
  </si>
  <si>
    <t>Прочие межбюджетные трансферты общего характера</t>
  </si>
  <si>
    <t>Софинансирование вопросов местного значения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</si>
  <si>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</si>
  <si>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</si>
  <si>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>Комитет по финансам Администрации МО "Пинежский район"</t>
  </si>
  <si>
    <t>Водное хозяйство</t>
  </si>
  <si>
    <t>Раз-дел</t>
  </si>
  <si>
    <t>Под-раз-дел</t>
  </si>
  <si>
    <t>4</t>
  </si>
  <si>
    <t>Другие вопросы в области культуры, кинематографии</t>
  </si>
  <si>
    <t>Физическая культура и спорт</t>
  </si>
  <si>
    <t xml:space="preserve">        Всего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</si>
  <si>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</si>
  <si>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Физическая культура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</si>
  <si>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</si>
  <si>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Иные непрограммные расходы в области общегосударственных вопросов</t>
  </si>
  <si>
    <t>Мероприятия в сфере общегосударственных вопросов, осуществляемые органами местного самоуправления</t>
  </si>
  <si>
    <t>Представительские расходы органов местного самоуправления</t>
  </si>
  <si>
    <t>7832</t>
  </si>
  <si>
    <t>Мероприятия в области физической культуры и спорта</t>
  </si>
  <si>
    <t>Резервные средства</t>
  </si>
  <si>
    <t>Расходы на обеспечение деятельности подведомственных учреждений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</si>
  <si>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</si>
  <si>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</si>
  <si>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</si>
  <si>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</si>
  <si>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</si>
  <si>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</si>
  <si>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</si>
  <si>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</si>
  <si>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</si>
  <si>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</si>
  <si>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</si>
  <si>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</si>
  <si>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</si>
  <si>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</si>
  <si>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</si>
  <si>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Субвенции</t>
  </si>
  <si>
    <t>530</t>
  </si>
  <si>
    <t>7862</t>
  </si>
  <si>
    <t>7865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</si>
  <si>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</si>
  <si>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7891</t>
  </si>
  <si>
    <t>01</t>
  </si>
  <si>
    <t>06</t>
  </si>
  <si>
    <t>04</t>
  </si>
  <si>
    <t>03</t>
  </si>
  <si>
    <t>05</t>
  </si>
  <si>
    <t>07</t>
  </si>
  <si>
    <t>08</t>
  </si>
  <si>
    <t>02</t>
  </si>
  <si>
    <t>Жилищно-коммунальное хозяйство</t>
  </si>
  <si>
    <t>Образование</t>
  </si>
  <si>
    <t>Социальная политика</t>
  </si>
  <si>
    <t>ВСЕГО</t>
  </si>
  <si>
    <t>Наименование</t>
  </si>
  <si>
    <t>Резервные фонды</t>
  </si>
  <si>
    <t>х</t>
  </si>
  <si>
    <t>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</si>
  <si>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</si>
  <si>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</si>
  <si>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</si>
  <si>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</si>
  <si>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Коммунальное хозяйство</t>
  </si>
  <si>
    <t>Общее образование</t>
  </si>
  <si>
    <t>Другие вопросы в области образования</t>
  </si>
  <si>
    <t>Культура</t>
  </si>
  <si>
    <t>Собрание депутатов МО "Пинежский район"</t>
  </si>
  <si>
    <t>целевая статья</t>
  </si>
  <si>
    <t>Другие вопросы в области национальной экономики</t>
  </si>
  <si>
    <t>11</t>
  </si>
  <si>
    <t>Мероприятия по землеустройству и землепользованию</t>
  </si>
  <si>
    <t>Социальное обеспечение населения</t>
  </si>
  <si>
    <t>Другие общегосударственные вопросы</t>
  </si>
  <si>
    <t>Пенсионное обеспечение</t>
  </si>
  <si>
    <t>12</t>
  </si>
  <si>
    <t>Межбюджетные трансферты</t>
  </si>
  <si>
    <t>14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</si>
  <si>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</si>
  <si>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</si>
  <si>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</si>
  <si>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Осуществление государственных полномочий по организации и осуществлению деятельности по опеке и попечительству</t>
  </si>
  <si>
    <t>095</t>
  </si>
  <si>
    <t>071</t>
  </si>
  <si>
    <t>331</t>
  </si>
  <si>
    <t>332</t>
  </si>
  <si>
    <t>Охрана семьи и детства</t>
  </si>
  <si>
    <t>раз-дел</t>
  </si>
  <si>
    <t>под-раз-дел</t>
  </si>
  <si>
    <t>500</t>
  </si>
  <si>
    <t>Иные межбюджетные трансферты</t>
  </si>
  <si>
    <t>гла-ва</t>
  </si>
  <si>
    <t>вид рас-хо-дов</t>
  </si>
  <si>
    <t>333</t>
  </si>
  <si>
    <t>334</t>
  </si>
  <si>
    <t>КУМИ и ЖКХ администрации МО "Пинежский район"</t>
  </si>
  <si>
    <t>13</t>
  </si>
  <si>
    <t>Национальная оборона</t>
  </si>
  <si>
    <t>Мобилизационная и вневойсковая подготовка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</si>
  <si>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</si>
  <si>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</si>
  <si>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Другие вопросы в области культуры, кинематографии </t>
  </si>
  <si>
    <t>Дорожное хозяйство (дорожные фонды)</t>
  </si>
  <si>
    <t xml:space="preserve">Физическая культура </t>
  </si>
  <si>
    <t>Физическая культура 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</si>
  <si>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</si>
  <si>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
для государственных (муниципальных) нужд</t>
  </si>
  <si>
    <t>Осуществление государственных полномочий в сфере охраны труда</t>
  </si>
  <si>
    <t>7871</t>
  </si>
  <si>
    <t>Расходы на выплату персоналу казенных учреждений</t>
  </si>
  <si>
    <t xml:space="preserve">I.  МУНИЦИПАЛЬНЫЕ ПРОГРАММЫ </t>
  </si>
  <si>
    <t>Мероприятия в области образования</t>
  </si>
  <si>
    <t>Жилищное хозяйство</t>
  </si>
  <si>
    <t>№ п/п</t>
  </si>
  <si>
    <t xml:space="preserve">Целевая статья </t>
  </si>
  <si>
    <t>2</t>
  </si>
  <si>
    <t>3</t>
  </si>
  <si>
    <t>0</t>
  </si>
  <si>
    <t>0000</t>
  </si>
  <si>
    <t>1</t>
  </si>
  <si>
    <t>Поддержка сельскохозяйственного производства</t>
  </si>
  <si>
    <t>8022</t>
  </si>
  <si>
    <t>810</t>
  </si>
  <si>
    <t>8024</t>
  </si>
  <si>
    <t>540</t>
  </si>
  <si>
    <t>Расходы на обеспечение деятельности домов культуры</t>
  </si>
  <si>
    <t>8034</t>
  </si>
  <si>
    <t>Расходы на обеспечение деятельности библиотек</t>
  </si>
  <si>
    <t>8035</t>
  </si>
  <si>
    <t>Расходы на обеспечение деятельности общеобразовательных учреждений</t>
  </si>
  <si>
    <t>8036</t>
  </si>
  <si>
    <t>600</t>
  </si>
  <si>
    <t>Расходы на обеспечение деятельности образовательных учреждений по внешкольной работе с детьми</t>
  </si>
  <si>
    <t>8037</t>
  </si>
  <si>
    <t>Дошкольное образование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</si>
  <si>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</si>
  <si>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350</t>
  </si>
  <si>
    <t xml:space="preserve">Социальное обеспечение и иные выплаты населению
</t>
  </si>
  <si>
    <t>Премии и гранты</t>
  </si>
  <si>
    <t>Подпрограмма "Поддержание устойчивого исполнения бюджетов муниципальных образований поселений Пинежского муниципального района"</t>
  </si>
  <si>
    <t>Подпрограмма "Организация и обеспечение бюджетного процесса в Пинежском муниципальном районе"</t>
  </si>
  <si>
    <t>Реализация образовательных программ</t>
  </si>
  <si>
    <t>630</t>
  </si>
  <si>
    <t>16</t>
  </si>
  <si>
    <t xml:space="preserve">Развитие территориального общественного самоуправления в Архангельской области 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</si>
  <si>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</si>
  <si>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R082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</si>
  <si>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</si>
  <si>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400</t>
  </si>
  <si>
    <t>410</t>
  </si>
  <si>
    <t xml:space="preserve">Бюджетные инвестиции </t>
  </si>
  <si>
    <t>Выравнивание бюджетной обеспеченности поселений за счет средств районного бюджета</t>
  </si>
  <si>
    <t>Благоустройство</t>
  </si>
  <si>
    <t>8049</t>
  </si>
  <si>
    <t>S833</t>
  </si>
  <si>
    <t>8050</t>
  </si>
  <si>
    <t>Взносы на капитальный ремонт многоквартирных домов, находящихся в муниципальной собственности</t>
  </si>
  <si>
    <t>8052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</si>
  <si>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</si>
  <si>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8032</t>
  </si>
  <si>
    <t>Другие вопросы в области социальной политики</t>
  </si>
  <si>
    <t>120</t>
  </si>
  <si>
    <t>Мероприятия в области коммунального хозяйства</t>
  </si>
  <si>
    <t>830</t>
  </si>
  <si>
    <t>Исполнение судебных актов</t>
  </si>
  <si>
    <t>8006</t>
  </si>
  <si>
    <t>Бюджетные инвестиции в объекты капитального строительства собственности муниципальных образований</t>
  </si>
  <si>
    <t xml:space="preserve"> Мероприятия в сфере культуры, искусства и туризма</t>
  </si>
  <si>
    <t>Транспорт</t>
  </si>
  <si>
    <t>Организация ритуальных услуг и содержание мест захоронения</t>
  </si>
  <si>
    <t xml:space="preserve">Молодежная политика </t>
  </si>
  <si>
    <t>Дополнительное образование детей</t>
  </si>
  <si>
    <t>S841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</si>
  <si>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</si>
  <si>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18</t>
  </si>
  <si>
    <t>Мероприятия в сфере жилищного хозяйства</t>
  </si>
  <si>
    <t>8040</t>
  </si>
  <si>
    <t>Капитальные вложения в объекты государственной (муниципальной) собственности</t>
  </si>
  <si>
    <t xml:space="preserve">Межбюджетные трансферты общего характера бюджетам бюджетной системы Российской Федерации </t>
  </si>
  <si>
    <t>Обеспечение пожарной безопасности</t>
  </si>
  <si>
    <t>Осуществление части полномочий района по содержанию автомобильных дорог общего пользования местного значения, находящихся в собственности муниципального района,  в части электроосвещения, за счет средств муниципального дорожного фонда</t>
  </si>
  <si>
    <t>8054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</si>
  <si>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</si>
  <si>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</si>
  <si>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7839</t>
  </si>
  <si>
    <t>Другие вопросы в области физической культуры и спорта</t>
  </si>
  <si>
    <t>Профессиональная подготовка, переподготовка и повышение квалификации</t>
  </si>
  <si>
    <t>5120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</si>
  <si>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</si>
  <si>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</si>
  <si>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19</t>
  </si>
  <si>
    <t>8031</t>
  </si>
  <si>
    <t xml:space="preserve">Уплата земельного налога </t>
  </si>
  <si>
    <t>Создание условий для обеспечения поселений услугами торговли</t>
  </si>
  <si>
    <t>8014</t>
  </si>
  <si>
    <t xml:space="preserve">Реализация муниципальных программ поддержки социально ориентированных некоммерческих организаций </t>
  </si>
  <si>
    <t>L497</t>
  </si>
  <si>
    <t xml:space="preserve"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</t>
  </si>
  <si>
    <t>8038</t>
  </si>
  <si>
    <t>Поддержка территориального общественного самоуправления в Пинежском районе</t>
  </si>
  <si>
    <t xml:space="preserve"> Реализация мероприятий по обеспечению жильем молодых семей </t>
  </si>
  <si>
    <t>870</t>
  </si>
  <si>
    <t xml:space="preserve">к решению Собрания депутатов </t>
  </si>
  <si>
    <t xml:space="preserve">  к решению Собрания депутатов </t>
  </si>
  <si>
    <t>7879</t>
  </si>
  <si>
    <t>Д</t>
  </si>
  <si>
    <t>8063</t>
  </si>
  <si>
    <t>Исполнение судебных актов, предусматривающих обращение взыскания на средства бюджета</t>
  </si>
  <si>
    <t>8064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</si>
  <si>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 за счет средств муниципального дорожного фонда</t>
  </si>
  <si>
    <t xml:space="preserve">Осуществление части полномочий района по капитальному ремонту, ремонту и содержанию автомобильных дорог общего пользования местного значения, находящихся в собственности муниципального района </t>
  </si>
  <si>
    <t>8066</t>
  </si>
  <si>
    <t>Другие вопросы в области охраны окружающей среды</t>
  </si>
  <si>
    <t>Охрана окружающей среды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</si>
  <si>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</si>
  <si>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7873</t>
  </si>
  <si>
    <t>Осуществление государственных полномочий по выплате вознаграждений профессиональным опекунам</t>
  </si>
  <si>
    <t xml:space="preserve">       от                            2019 года  № </t>
  </si>
  <si>
    <t>Муниципальная программа "Комплексное развитие сельских территорий Пинежского муниципального района на 2020-2025 годы"</t>
  </si>
  <si>
    <t>Обеспечение комплексного развития сельских территорий</t>
  </si>
  <si>
    <t>L576</t>
  </si>
  <si>
    <t>8053</t>
  </si>
  <si>
    <t>Организация сбора, транспортировки и утилизации отходов</t>
  </si>
  <si>
    <t>Иные общегосударственные вопросы</t>
  </si>
  <si>
    <t>Подпрограмма "Охрана общественного порядка на территории Пинежского муниципального района"</t>
  </si>
  <si>
    <t>8069</t>
  </si>
  <si>
    <t xml:space="preserve">Разработка генеральных планов и правил землепользования и застройки, проектов планировки территории и проектов межеваний территорий </t>
  </si>
  <si>
    <t>8017</t>
  </si>
  <si>
    <t>Администрация МО "Пинежский район"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</si>
  <si>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</si>
  <si>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8068</t>
  </si>
  <si>
    <t>620</t>
  </si>
  <si>
    <t xml:space="preserve"> Внедрение и обеспечение функционирования модели персонифицированного финансирования дополнительного образования детей</t>
  </si>
  <si>
    <t xml:space="preserve">   Субсидии автономным учреждениям</t>
  </si>
  <si>
    <t>L304</t>
  </si>
  <si>
    <t xml:space="preserve"> Мероприятия в сфере молодежной политики</t>
  </si>
  <si>
    <t>8055</t>
  </si>
  <si>
    <t>7824</t>
  </si>
  <si>
    <t>Муниципальная программа "Энергосбережение и повышение энергетической эффективности в муниципальном образовании "Пинежский муниципальный район" на 2014-2021 годы"</t>
  </si>
  <si>
    <t>Муниципальная программа "Обеспечение жильём молодых семей на 2014-2024 годы"</t>
  </si>
  <si>
    <t>Защита населения и территории от  чрезвычайных ситуаций природного и техногенного характера, пожарная безопасность</t>
  </si>
  <si>
    <t xml:space="preserve">  Мероприятия в сфере молодежной политики</t>
  </si>
  <si>
    <t>Мероприятия по реализации приоритетных проектов в сфере туризма</t>
  </si>
  <si>
    <t>S855</t>
  </si>
  <si>
    <t>L519</t>
  </si>
  <si>
    <t>Мероприятия в сфере защиты населения и территорий Пинежского района от чрезвычайных ситуаций, осуществляемые органами местного самоуправления</t>
  </si>
  <si>
    <t>Подпрограмма "Развитие библиотечного дела  в Пинежском муниципальном районе"</t>
  </si>
  <si>
    <t>Подпрограмма "Развитие библиотечного дела в Пинежском муниципальном районе"</t>
  </si>
  <si>
    <t>Субсидии автономным учреждениям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</si>
  <si>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</si>
  <si>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Сумма, рублей</t>
  </si>
  <si>
    <t>2022 год</t>
  </si>
  <si>
    <t>2023 год</t>
  </si>
  <si>
    <t>2024 год</t>
  </si>
  <si>
    <t>5</t>
  </si>
  <si>
    <t>6</t>
  </si>
  <si>
    <t>Вид расходов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</si>
  <si>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</si>
  <si>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</t>
  </si>
  <si>
    <t>S656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</si>
  <si>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образовательных организаций)</t>
  </si>
  <si>
    <t>Развитие сети учреждений культурно-досугового типа</t>
  </si>
  <si>
    <t>8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</si>
  <si>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библиотек)</t>
  </si>
  <si>
    <t xml:space="preserve">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</si>
  <si>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79</t>
  </si>
  <si>
    <t>Организация транспортного обслуживания по муниципальным маршрутам регулярных автобусных перевозок</t>
  </si>
  <si>
    <t>8072</t>
  </si>
  <si>
    <t>310</t>
  </si>
  <si>
    <t>Публичные нормативные социальные выплаты гражданам</t>
  </si>
  <si>
    <t>Условно утвержденные расходы</t>
  </si>
  <si>
    <t>Муниципальная программа "Обеспечение качественным, доступным жильем и объектами жилищно-коммунального хозяйства населения Пинежского муниципального района на 2014-2024 годы"</t>
  </si>
  <si>
    <t>Муниципальная программа "Энергосбережение и повышение энергетической эффективности в муниципальном образовании "Пинежский муниципальный район" на 2014-2024 годы"</t>
  </si>
  <si>
    <t>Муниципальная программа "Развитие агропромышленного комплекса Пинежского муниципального района на 2014-2024 годы"</t>
  </si>
  <si>
    <t xml:space="preserve"> Муниципальная программа "Защита населения на территории Пинежского муниципального района от чрезвычайных ситуаций, обеспечение пожарной безопасности и обеспечение безопасности людей на водных объектах"                      </t>
  </si>
  <si>
    <t>Муниципальная программа "Развитие физической культуры и спорта в Пинежском муниципальном районе на 2017-2024 годы"</t>
  </si>
  <si>
    <t>5513</t>
  </si>
  <si>
    <t>21</t>
  </si>
  <si>
    <t xml:space="preserve">        Приложение № 4</t>
  </si>
  <si>
    <t xml:space="preserve">Приложение № 6 </t>
  </si>
  <si>
    <t>поправки</t>
  </si>
  <si>
    <t xml:space="preserve"> Мероприятия в сфере обеспечения пожарной безопасности и защиты населения от чрезвычайных ситуаций</t>
  </si>
  <si>
    <t>Мероприятия в сфере обеспечения пожарной безопасности и защиты населения от чрезвычайных ситуаций</t>
  </si>
  <si>
    <t>Председатель Контрольно-счетной комиссии Пинежского муниципального района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</si>
  <si>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</si>
  <si>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7680</t>
  </si>
  <si>
    <t>Организация транспортного обслуживания населения на пассажирских муниципальных маршрутах водного транспорта</t>
  </si>
  <si>
    <t>S842</t>
  </si>
  <si>
    <t>S824</t>
  </si>
  <si>
    <t>S682</t>
  </si>
  <si>
    <t xml:space="preserve"> Осуществление первичного воинского учета органами местного самоуправления поселений, муниципальных и городских округов</t>
  </si>
  <si>
    <t>8075</t>
  </si>
  <si>
    <t>Мероприятия по ремонту автомобильной дороги "Шилега -Березник"</t>
  </si>
  <si>
    <t>S636</t>
  </si>
  <si>
    <t>Организация транспортного обслуживания населения на пассажирских муниципальных маршрутах автомобильного транспорта</t>
  </si>
  <si>
    <t>S491</t>
  </si>
  <si>
    <t>Приведение в нормативное состояние сети автомобильных дорог общего пользования местного значения (дорожный фонд Архангельской области)</t>
  </si>
  <si>
    <t xml:space="preserve">Управление образования администрации Пинежского района </t>
  </si>
  <si>
    <t xml:space="preserve">                            от           2022 года № </t>
  </si>
  <si>
    <t>Распределение бюджетных ассигнований по разделам и подразделам классификации расходов бюджетов на 2023 год и на плановый период 2024 и 2025 годов</t>
  </si>
  <si>
    <t>от             2022 года №</t>
  </si>
  <si>
    <t xml:space="preserve">от        2022 года № </t>
  </si>
  <si>
    <t xml:space="preserve">    Приложение №5 </t>
  </si>
  <si>
    <t xml:space="preserve">                            к решению Собрания депутатов </t>
  </si>
  <si>
    <t>2025 год</t>
  </si>
  <si>
    <t xml:space="preserve">2023 год </t>
  </si>
  <si>
    <t>Пенсия за выслугу лет муниципальным служащим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</si>
  <si>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на территории Архангельской области</t>
  </si>
  <si>
    <t xml:space="preserve">Осуществление государственных полномочий по финансовому обеспечению оплаты стоимости питания детей  в организациях отдыха детей и их оздоровления с дневным пребыванием детей в каникулярное время
</t>
  </si>
  <si>
    <t>82</t>
  </si>
  <si>
    <t>8077</t>
  </si>
  <si>
    <t>S822</t>
  </si>
  <si>
    <t>8078</t>
  </si>
  <si>
    <t>Резервные средства на оплату коммунальных платежей учреждений бюджетной сферы</t>
  </si>
  <si>
    <t>Резервные средства на обеспечение софинансирования расходных обязательств, на которые предоставляются субсидии и иные межбюджетные трансферты из областного бюджета</t>
  </si>
  <si>
    <t>Муниципальная программа "Развитие сферы культуры и туризма в Пинежском муниципальном районе"</t>
  </si>
  <si>
    <t>Отдел по культуре и туризму Администрации Пинежского района Архангельской области</t>
  </si>
  <si>
    <t xml:space="preserve">Муниципальная программа "Развитие сферы культуры и туризма в Пинежском муниципальном районе" </t>
  </si>
  <si>
    <t>Муниципальная программа "Профилактика правонарушений на территории Пинежского муниципального района на 2017-2025 годы"</t>
  </si>
  <si>
    <t>Подпрограмма "Профилактика безнадзорности и правонарушений несовершеннолетних на 2017-2025 годы"</t>
  </si>
  <si>
    <t>Муниципальная программа "Улучшение эксплуатационного состояния автомобильных дорог общего пользования местного значения, а также организация осуществления перевозок пассажиров и багажа на социально значимых маршрутах муниципального сообщения  Пинежского муниципального района"</t>
  </si>
  <si>
    <t>Муниципальная программа "Развитие общего образования и воспитания детей в Пинежском муниципальном районе"</t>
  </si>
  <si>
    <t xml:space="preserve">Муниципальная программа "Капитальный ремонт, ремонт и переустройство жилых помещений в муниципальном жилищном фонде Пинежского  муниципального района Архангельской области" </t>
  </si>
  <si>
    <t>Муниципальная программа "Развитие и поддержка территориального общественного самоуправления и социально ориентированных некоммерческих организаций в Пинежском районе"</t>
  </si>
  <si>
    <t xml:space="preserve">Муниципальная программа "Управление муниципальными финансами Пинежского муниципального района" </t>
  </si>
  <si>
    <t>Муниципальная программа "Молодёжь Пинежья на 2017-2025 годы"</t>
  </si>
  <si>
    <t>Муниципальная программа "Энергосбережение и повышение энергетической эффективности в Пинежском муниципальном районе Архангельской области"</t>
  </si>
  <si>
    <t>Муниципальная программа "Развитие торговли в Пинежском муниципальном районе на 2018-2025 годы"</t>
  </si>
  <si>
    <t>Муниципальная программа "Управление муниципальными финансами Пинежского муниципального района"</t>
  </si>
  <si>
    <t>Муниципальная программа "Охрана окружающей среды в Пинежском муниципальном районе Архангельской области"</t>
  </si>
  <si>
    <t xml:space="preserve">Предоставление мер социальной поддержки отдельных категорий квалифицированных специалистов финансируемых из бюджета Пинежского муниципального района </t>
  </si>
  <si>
    <t>Резервный фонд администрации МО «Пинежский район»</t>
  </si>
  <si>
    <t>Подпрограмма "Капитальный ремонт, ремонт и переустройство жилых помещений в муниципальном жилищном фонде Пинежского  муниципального района Архангельской области"</t>
  </si>
  <si>
    <t>Муниципальная программа "Развитие земельно-имущественных отношений в  Пинежском муниципальном районе Архангельской области"</t>
  </si>
  <si>
    <t xml:space="preserve">Муниципальная программа "Развитие земельно-имущественных отношений в Пинежском муниципальном районе Архангельской области" </t>
  </si>
  <si>
    <t>Ведомственная структура расходов районного бюджета на 2023 год и на плановый период 2024 и 2025 годов</t>
  </si>
  <si>
    <t>Распределение  бюджетных ассигнований на реализацию муниципальных программ Пинежского муниципального района и непрограммных направлений деятельности на 2023 год и на плановый период 2024 и 2025 годов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</si>
</sst>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  <numFmt numFmtId="189" formatCode="#,##0.00&quot;р.&quot;"/>
    <numFmt numFmtId="190" formatCode="#,##0.000"/>
    <numFmt numFmtId="191" formatCode="#,##0.0"/>
    <numFmt numFmtId="192" formatCode="#,##0.00_р_."/>
    <numFmt numFmtId="193" formatCode="#,##0.0_р_."/>
    <numFmt numFmtId="194" formatCode="[$€-2]\ ###,000_);[Red]\([$€-2]\ ###,000\)"/>
    <numFmt numFmtId="195" formatCode="_-* #,##0.0_р_._-;\-* #,##0.0_р_._-;_-* &quot;-&quot;?_р_._-;_-@_-"/>
    <numFmt numFmtId="196" formatCode="mmm/yyyy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%"/>
    <numFmt numFmtId="203" formatCode="_-* #,##0.0\ _₽_-;\-* #,##0.0\ _₽_-;_-* &quot;-&quot;?\ _₽_-;_-@_-"/>
    <numFmt numFmtId="204" formatCode="_-* #,##0.00_р_._-;\-* #,##0.00_р_._-;_-* &quot;-&quot;?_р_._-;_-@_-"/>
  </numFmts>
  <fonts count="106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  <font>
      <sz val="7"/>
      <name val="Arial"/>
      <family val="2"/>
    </font>
    <font>
      <sz val="7"/>
      <name val="Arial Cyr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color indexed="9"/>
      <name val="Arial Cyr"/>
      <family val="0"/>
    </font>
    <font>
      <sz val="7"/>
      <color indexed="9"/>
      <name val="Arial Cyr"/>
      <family val="2"/>
    </font>
    <font>
      <b/>
      <sz val="10"/>
      <color indexed="9"/>
      <name val="Arial Cyr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 Cyr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 Cyr"/>
      <family val="2"/>
    </font>
    <font>
      <b/>
      <sz val="11"/>
      <color indexed="8"/>
      <name val="Arial Cyr"/>
      <family val="2"/>
    </font>
    <font>
      <sz val="12"/>
      <color indexed="8"/>
      <name val="Arial Cyr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7"/>
      <color theme="0"/>
      <name val="Arial Cyr"/>
      <family val="2"/>
    </font>
    <font>
      <b/>
      <sz val="10"/>
      <color theme="0"/>
      <name val="Arial Cyr"/>
      <family val="0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 Cyr"/>
      <family val="2"/>
    </font>
    <font>
      <b/>
      <sz val="11"/>
      <color theme="1"/>
      <name val="Arial Cyr"/>
      <family val="2"/>
    </font>
    <font>
      <sz val="12"/>
      <color theme="1"/>
      <name val="Arial Cyr"/>
      <family val="2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3" fillId="0" borderId="0">
      <alignment/>
      <protection/>
    </xf>
    <xf numFmtId="0" fontId="14" fillId="34" borderId="1" applyNumberFormat="0" applyAlignment="0" applyProtection="0"/>
    <xf numFmtId="0" fontId="15" fillId="35" borderId="2" applyNumberFormat="0" applyAlignment="0" applyProtection="0"/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4" borderId="0" applyNumberFormat="0" applyBorder="0" applyAlignment="0" applyProtection="0"/>
    <xf numFmtId="0" fontId="13" fillId="4" borderId="7" applyNumberFormat="0" applyFont="0" applyAlignment="0" applyProtection="0"/>
    <xf numFmtId="0" fontId="24" fillId="34" borderId="8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3" fillId="0" borderId="0">
      <alignment/>
      <protection/>
    </xf>
    <xf numFmtId="0" fontId="28" fillId="0" borderId="0" applyNumberFormat="0" applyFill="0" applyBorder="0" applyAlignment="0" applyProtection="0"/>
    <xf numFmtId="0" fontId="25" fillId="37" borderId="0">
      <alignment/>
      <protection/>
    </xf>
    <xf numFmtId="0" fontId="25" fillId="0" borderId="0">
      <alignment wrapText="1"/>
      <protection/>
    </xf>
    <xf numFmtId="0" fontId="25" fillId="0" borderId="0">
      <alignment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5" fillId="0" borderId="0">
      <alignment horizontal="right"/>
      <protection/>
    </xf>
    <xf numFmtId="0" fontId="25" fillId="37" borderId="10">
      <alignment/>
      <protection/>
    </xf>
    <xf numFmtId="0" fontId="25" fillId="0" borderId="11">
      <alignment horizontal="center" vertical="center" wrapText="1"/>
      <protection/>
    </xf>
    <xf numFmtId="0" fontId="25" fillId="37" borderId="12">
      <alignment/>
      <protection/>
    </xf>
    <xf numFmtId="49" fontId="25" fillId="0" borderId="11">
      <alignment horizontal="left" vertical="top" wrapText="1" indent="2"/>
      <protection/>
    </xf>
    <xf numFmtId="49" fontId="25" fillId="0" borderId="11">
      <alignment horizontal="center" vertical="top" shrinkToFit="1"/>
      <protection/>
    </xf>
    <xf numFmtId="4" fontId="25" fillId="0" borderId="11">
      <alignment horizontal="right" vertical="top" shrinkToFit="1"/>
      <protection/>
    </xf>
    <xf numFmtId="10" fontId="25" fillId="0" borderId="11">
      <alignment horizontal="right" vertical="top" shrinkToFit="1"/>
      <protection/>
    </xf>
    <xf numFmtId="0" fontId="25" fillId="37" borderId="12">
      <alignment shrinkToFit="1"/>
      <protection/>
    </xf>
    <xf numFmtId="0" fontId="30" fillId="0" borderId="11">
      <alignment horizontal="left"/>
      <protection/>
    </xf>
    <xf numFmtId="4" fontId="30" fillId="4" borderId="11">
      <alignment horizontal="right" vertical="top" shrinkToFit="1"/>
      <protection/>
    </xf>
    <xf numFmtId="10" fontId="30" fillId="4" borderId="11">
      <alignment horizontal="right" vertical="top" shrinkToFit="1"/>
      <protection/>
    </xf>
    <xf numFmtId="0" fontId="25" fillId="37" borderId="13">
      <alignment/>
      <protection/>
    </xf>
    <xf numFmtId="0" fontId="25" fillId="0" borderId="0">
      <alignment horizontal="left" wrapText="1"/>
      <protection/>
    </xf>
    <xf numFmtId="0" fontId="30" fillId="0" borderId="11">
      <alignment vertical="top" wrapText="1"/>
      <protection/>
    </xf>
    <xf numFmtId="4" fontId="30" fillId="38" borderId="11">
      <alignment horizontal="right" vertical="top" shrinkToFit="1"/>
      <protection/>
    </xf>
    <xf numFmtId="10" fontId="30" fillId="38" borderId="11">
      <alignment horizontal="right" vertical="top" shrinkToFit="1"/>
      <protection/>
    </xf>
    <xf numFmtId="0" fontId="25" fillId="37" borderId="12">
      <alignment horizontal="center"/>
      <protection/>
    </xf>
    <xf numFmtId="0" fontId="25" fillId="37" borderId="12">
      <alignment horizontal="left"/>
      <protection/>
    </xf>
    <xf numFmtId="0" fontId="25" fillId="37" borderId="13">
      <alignment horizontal="center"/>
      <protection/>
    </xf>
    <xf numFmtId="0" fontId="25" fillId="37" borderId="13">
      <alignment horizontal="left"/>
      <protection/>
    </xf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6" fillId="45" borderId="14" applyNumberFormat="0" applyAlignment="0" applyProtection="0"/>
    <xf numFmtId="0" fontId="67" fillId="46" borderId="15" applyNumberFormat="0" applyAlignment="0" applyProtection="0"/>
    <xf numFmtId="0" fontId="68" fillId="46" borderId="14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1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3" fillId="47" borderId="20" applyNumberFormat="0" applyAlignment="0" applyProtection="0"/>
    <xf numFmtId="0" fontId="74" fillId="0" borderId="0" applyNumberFormat="0" applyFill="0" applyBorder="0" applyAlignment="0" applyProtection="0"/>
    <xf numFmtId="0" fontId="75" fillId="4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49" borderId="0">
      <alignment/>
      <protection/>
    </xf>
    <xf numFmtId="0" fontId="3" fillId="0" borderId="0" applyNumberFormat="0" applyFill="0" applyBorder="0" applyAlignment="0" applyProtection="0"/>
    <xf numFmtId="0" fontId="76" fillId="5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51" borderId="21" applyNumberFormat="0" applyFont="0" applyAlignment="0" applyProtection="0"/>
    <xf numFmtId="9" fontId="0" fillId="0" borderId="0" applyFont="0" applyFill="0" applyBorder="0" applyAlignment="0" applyProtection="0"/>
    <xf numFmtId="0" fontId="78" fillId="0" borderId="22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0" fillId="52" borderId="0" applyNumberFormat="0" applyBorder="0" applyAlignment="0" applyProtection="0"/>
  </cellStyleXfs>
  <cellXfs count="59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0" borderId="33" xfId="125" applyFont="1" applyFill="1" applyBorder="1" applyAlignment="1">
      <alignment horizontal="left" vertical="center" wrapText="1"/>
      <protection/>
    </xf>
    <xf numFmtId="0" fontId="0" fillId="0" borderId="33" xfId="0" applyFont="1" applyFill="1" applyBorder="1" applyAlignment="1">
      <alignment horizontal="left" vertical="center" wrapText="1"/>
    </xf>
    <xf numFmtId="49" fontId="5" fillId="0" borderId="3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left" vertical="center"/>
    </xf>
    <xf numFmtId="0" fontId="0" fillId="0" borderId="33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49" fontId="1" fillId="0" borderId="35" xfId="0" applyNumberFormat="1" applyFont="1" applyFill="1" applyBorder="1" applyAlignment="1">
      <alignment horizontal="left" vertical="center" wrapText="1"/>
    </xf>
    <xf numFmtId="49" fontId="0" fillId="0" borderId="35" xfId="0" applyNumberFormat="1" applyFont="1" applyFill="1" applyBorder="1" applyAlignment="1">
      <alignment horizontal="left" vertical="center" wrapText="1"/>
    </xf>
    <xf numFmtId="0" fontId="0" fillId="0" borderId="33" xfId="0" applyFont="1" applyBorder="1" applyAlignment="1">
      <alignment/>
    </xf>
    <xf numFmtId="0" fontId="1" fillId="0" borderId="33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49" fontId="5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wrapText="1"/>
    </xf>
    <xf numFmtId="0" fontId="4" fillId="53" borderId="0" xfId="0" applyFont="1" applyFill="1" applyAlignment="1">
      <alignment/>
    </xf>
    <xf numFmtId="0" fontId="0" fillId="0" borderId="40" xfId="125" applyFont="1" applyFill="1" applyBorder="1" applyAlignment="1">
      <alignment horizontal="left" vertical="center" wrapText="1"/>
      <protection/>
    </xf>
    <xf numFmtId="0" fontId="1" fillId="0" borderId="40" xfId="125" applyFont="1" applyFill="1" applyBorder="1" applyAlignment="1">
      <alignment horizontal="left" vertical="center" wrapText="1"/>
      <protection/>
    </xf>
    <xf numFmtId="0" fontId="0" fillId="53" borderId="0" xfId="0" applyFont="1" applyFill="1" applyAlignment="1">
      <alignment/>
    </xf>
    <xf numFmtId="0" fontId="0" fillId="53" borderId="0" xfId="0" applyFont="1" applyFill="1" applyAlignment="1">
      <alignment horizontal="center" vertical="center"/>
    </xf>
    <xf numFmtId="0" fontId="6" fillId="53" borderId="0" xfId="0" applyFont="1" applyFill="1" applyAlignment="1">
      <alignment horizontal="center" vertical="center" wrapText="1"/>
    </xf>
    <xf numFmtId="204" fontId="5" fillId="0" borderId="24" xfId="0" applyNumberFormat="1" applyFont="1" applyFill="1" applyBorder="1" applyAlignment="1">
      <alignment horizontal="center" vertical="center"/>
    </xf>
    <xf numFmtId="204" fontId="5" fillId="0" borderId="41" xfId="0" applyNumberFormat="1" applyFont="1" applyFill="1" applyBorder="1" applyAlignment="1">
      <alignment horizontal="center" vertical="center"/>
    </xf>
    <xf numFmtId="204" fontId="0" fillId="0" borderId="35" xfId="0" applyNumberFormat="1" applyFont="1" applyFill="1" applyBorder="1" applyAlignment="1">
      <alignment horizontal="center" vertical="center"/>
    </xf>
    <xf numFmtId="204" fontId="5" fillId="0" borderId="35" xfId="0" applyNumberFormat="1" applyFont="1" applyFill="1" applyBorder="1" applyAlignment="1">
      <alignment horizontal="center" vertical="center"/>
    </xf>
    <xf numFmtId="204" fontId="4" fillId="0" borderId="35" xfId="0" applyNumberFormat="1" applyFont="1" applyFill="1" applyBorder="1" applyAlignment="1">
      <alignment horizontal="center" vertical="center"/>
    </xf>
    <xf numFmtId="204" fontId="1" fillId="0" borderId="35" xfId="0" applyNumberFormat="1" applyFont="1" applyFill="1" applyBorder="1" applyAlignment="1">
      <alignment horizontal="center" vertical="center"/>
    </xf>
    <xf numFmtId="204" fontId="5" fillId="0" borderId="35" xfId="0" applyNumberFormat="1" applyFont="1" applyFill="1" applyBorder="1" applyAlignment="1">
      <alignment horizontal="center" vertical="center"/>
    </xf>
    <xf numFmtId="204" fontId="0" fillId="0" borderId="39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  <xf numFmtId="204" fontId="1" fillId="0" borderId="34" xfId="0" applyNumberFormat="1" applyFont="1" applyFill="1" applyBorder="1" applyAlignment="1">
      <alignment horizontal="center" vertical="center"/>
    </xf>
    <xf numFmtId="0" fontId="81" fillId="0" borderId="23" xfId="0" applyFont="1" applyFill="1" applyBorder="1" applyAlignment="1">
      <alignment horizontal="center" vertical="center" wrapText="1"/>
    </xf>
    <xf numFmtId="49" fontId="82" fillId="0" borderId="24" xfId="0" applyNumberFormat="1" applyFont="1" applyFill="1" applyBorder="1" applyAlignment="1">
      <alignment horizontal="center" vertical="center"/>
    </xf>
    <xf numFmtId="204" fontId="83" fillId="0" borderId="41" xfId="0" applyNumberFormat="1" applyFont="1" applyFill="1" applyBorder="1" applyAlignment="1">
      <alignment horizontal="center" vertical="center"/>
    </xf>
    <xf numFmtId="204" fontId="84" fillId="0" borderId="35" xfId="0" applyNumberFormat="1" applyFont="1" applyFill="1" applyBorder="1" applyAlignment="1">
      <alignment horizontal="center" vertical="center"/>
    </xf>
    <xf numFmtId="204" fontId="83" fillId="0" borderId="35" xfId="0" applyNumberFormat="1" applyFont="1" applyFill="1" applyBorder="1" applyAlignment="1">
      <alignment horizontal="center" vertical="center"/>
    </xf>
    <xf numFmtId="204" fontId="81" fillId="0" borderId="35" xfId="0" applyNumberFormat="1" applyFont="1" applyFill="1" applyBorder="1" applyAlignment="1">
      <alignment horizontal="center" vertical="center"/>
    </xf>
    <xf numFmtId="204" fontId="85" fillId="0" borderId="35" xfId="0" applyNumberFormat="1" applyFont="1" applyFill="1" applyBorder="1" applyAlignment="1">
      <alignment horizontal="center" vertical="center"/>
    </xf>
    <xf numFmtId="204" fontId="83" fillId="0" borderId="35" xfId="0" applyNumberFormat="1" applyFont="1" applyFill="1" applyBorder="1" applyAlignment="1">
      <alignment horizontal="center" vertical="center"/>
    </xf>
    <xf numFmtId="204" fontId="84" fillId="0" borderId="39" xfId="0" applyNumberFormat="1" applyFont="1" applyFill="1" applyBorder="1" applyAlignment="1">
      <alignment horizontal="center" vertical="center"/>
    </xf>
    <xf numFmtId="204" fontId="85" fillId="0" borderId="34" xfId="0" applyNumberFormat="1" applyFont="1" applyFill="1" applyBorder="1" applyAlignment="1">
      <alignment horizontal="center" vertical="center"/>
    </xf>
    <xf numFmtId="204" fontId="83" fillId="0" borderId="24" xfId="0" applyNumberFormat="1" applyFont="1" applyFill="1" applyBorder="1" applyAlignment="1">
      <alignment horizontal="center" vertical="center"/>
    </xf>
    <xf numFmtId="0" fontId="8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1" fillId="53" borderId="0" xfId="0" applyFont="1" applyFill="1" applyAlignment="1">
      <alignment horizontal="center" vertical="center"/>
    </xf>
    <xf numFmtId="0" fontId="31" fillId="53" borderId="0" xfId="0" applyFont="1" applyFill="1" applyAlignment="1">
      <alignment/>
    </xf>
    <xf numFmtId="4" fontId="86" fillId="0" borderId="40" xfId="125" applyNumberFormat="1" applyFont="1" applyFill="1" applyBorder="1" applyAlignment="1">
      <alignment horizontal="right" vertical="distributed"/>
      <protection/>
    </xf>
    <xf numFmtId="4" fontId="86" fillId="0" borderId="33" xfId="125" applyNumberFormat="1" applyFont="1" applyFill="1" applyBorder="1" applyAlignment="1">
      <alignment horizontal="right" vertical="distributed"/>
      <protection/>
    </xf>
    <xf numFmtId="49" fontId="86" fillId="0" borderId="0" xfId="125" applyNumberFormat="1" applyFont="1" applyFill="1" applyAlignment="1">
      <alignment horizontal="center" vertical="center"/>
      <protection/>
    </xf>
    <xf numFmtId="0" fontId="86" fillId="53" borderId="0" xfId="125" applyFont="1" applyFill="1">
      <alignment/>
      <protection/>
    </xf>
    <xf numFmtId="49" fontId="86" fillId="53" borderId="0" xfId="125" applyNumberFormat="1" applyFont="1" applyFill="1">
      <alignment/>
      <protection/>
    </xf>
    <xf numFmtId="0" fontId="86" fillId="0" borderId="0" xfId="125" applyFont="1" applyFill="1">
      <alignment/>
      <protection/>
    </xf>
    <xf numFmtId="0" fontId="86" fillId="53" borderId="0" xfId="0" applyFont="1" applyFill="1" applyBorder="1" applyAlignment="1">
      <alignment wrapText="1"/>
    </xf>
    <xf numFmtId="0" fontId="86" fillId="53" borderId="0" xfId="0" applyFont="1" applyFill="1" applyAlignment="1">
      <alignment/>
    </xf>
    <xf numFmtId="0" fontId="86" fillId="53" borderId="0" xfId="125" applyFont="1" applyFill="1" applyBorder="1" applyAlignment="1">
      <alignment horizontal="center"/>
      <protection/>
    </xf>
    <xf numFmtId="49" fontId="86" fillId="0" borderId="44" xfId="125" applyNumberFormat="1" applyFont="1" applyFill="1" applyBorder="1" applyAlignment="1">
      <alignment horizontal="center" vertical="center" wrapText="1"/>
      <protection/>
    </xf>
    <xf numFmtId="0" fontId="86" fillId="0" borderId="45" xfId="125" applyFont="1" applyFill="1" applyBorder="1" applyAlignment="1">
      <alignment horizontal="center" vertical="center" wrapText="1"/>
      <protection/>
    </xf>
    <xf numFmtId="0" fontId="86" fillId="0" borderId="46" xfId="125" applyFont="1" applyFill="1" applyBorder="1" applyAlignment="1">
      <alignment horizontal="center" vertical="center" wrapText="1"/>
      <protection/>
    </xf>
    <xf numFmtId="0" fontId="86" fillId="0" borderId="46" xfId="125" applyFont="1" applyFill="1" applyBorder="1" applyAlignment="1">
      <alignment horizontal="center" vertical="center"/>
      <protection/>
    </xf>
    <xf numFmtId="0" fontId="86" fillId="0" borderId="47" xfId="125" applyFont="1" applyFill="1" applyBorder="1" applyAlignment="1">
      <alignment horizontal="center" vertical="center"/>
      <protection/>
    </xf>
    <xf numFmtId="0" fontId="87" fillId="0" borderId="45" xfId="125" applyFont="1" applyFill="1" applyBorder="1" applyAlignment="1">
      <alignment horizontal="center" vertical="center" wrapText="1"/>
      <protection/>
    </xf>
    <xf numFmtId="49" fontId="87" fillId="0" borderId="46" xfId="125" applyNumberFormat="1" applyFont="1" applyFill="1" applyBorder="1" applyAlignment="1">
      <alignment horizontal="center" vertical="center" wrapText="1"/>
      <protection/>
    </xf>
    <xf numFmtId="0" fontId="87" fillId="0" borderId="48" xfId="125" applyFont="1" applyFill="1" applyBorder="1" applyAlignment="1">
      <alignment horizontal="center" vertical="center" wrapText="1"/>
      <protection/>
    </xf>
    <xf numFmtId="0" fontId="87" fillId="0" borderId="46" xfId="125" applyFont="1" applyFill="1" applyBorder="1" applyAlignment="1">
      <alignment horizontal="center" vertical="center" wrapText="1"/>
      <protection/>
    </xf>
    <xf numFmtId="0" fontId="88" fillId="0" borderId="46" xfId="125" applyFont="1" applyFill="1" applyBorder="1" applyAlignment="1">
      <alignment horizontal="center" vertical="center"/>
      <protection/>
    </xf>
    <xf numFmtId="0" fontId="88" fillId="0" borderId="47" xfId="125" applyFont="1" applyFill="1" applyBorder="1" applyAlignment="1">
      <alignment horizontal="center" vertical="center"/>
      <protection/>
    </xf>
    <xf numFmtId="0" fontId="86" fillId="0" borderId="0" xfId="125" applyFont="1" applyFill="1" applyAlignment="1">
      <alignment vertical="center"/>
      <protection/>
    </xf>
    <xf numFmtId="49" fontId="86" fillId="0" borderId="49" xfId="125" applyNumberFormat="1" applyFont="1" applyFill="1" applyBorder="1" applyAlignment="1">
      <alignment horizontal="center" vertical="center" wrapText="1"/>
      <protection/>
    </xf>
    <xf numFmtId="0" fontId="87" fillId="0" borderId="44" xfId="125" applyFont="1" applyFill="1" applyBorder="1" applyAlignment="1">
      <alignment horizontal="center" vertical="center" wrapText="1"/>
      <protection/>
    </xf>
    <xf numFmtId="49" fontId="86" fillId="0" borderId="50" xfId="125" applyNumberFormat="1" applyFont="1" applyFill="1" applyBorder="1" applyAlignment="1">
      <alignment horizontal="center" vertical="center" wrapText="1"/>
      <protection/>
    </xf>
    <xf numFmtId="0" fontId="86" fillId="0" borderId="50" xfId="125" applyFont="1" applyFill="1" applyBorder="1" applyAlignment="1">
      <alignment horizontal="center" vertical="center" wrapText="1"/>
      <protection/>
    </xf>
    <xf numFmtId="0" fontId="86" fillId="0" borderId="51" xfId="125" applyFont="1" applyFill="1" applyBorder="1" applyAlignment="1">
      <alignment horizontal="center" vertical="center" wrapText="1"/>
      <protection/>
    </xf>
    <xf numFmtId="49" fontId="86" fillId="0" borderId="52" xfId="125" applyNumberFormat="1" applyFont="1" applyFill="1" applyBorder="1" applyAlignment="1">
      <alignment horizontal="center" vertical="center" wrapText="1"/>
      <protection/>
    </xf>
    <xf numFmtId="4" fontId="86" fillId="0" borderId="50" xfId="125" applyNumberFormat="1" applyFont="1" applyFill="1" applyBorder="1">
      <alignment/>
      <protection/>
    </xf>
    <xf numFmtId="4" fontId="86" fillId="0" borderId="44" xfId="125" applyNumberFormat="1" applyFont="1" applyFill="1" applyBorder="1">
      <alignment/>
      <protection/>
    </xf>
    <xf numFmtId="4" fontId="86" fillId="0" borderId="52" xfId="125" applyNumberFormat="1" applyFont="1" applyFill="1" applyBorder="1">
      <alignment/>
      <protection/>
    </xf>
    <xf numFmtId="4" fontId="86" fillId="0" borderId="51" xfId="125" applyNumberFormat="1" applyFont="1" applyFill="1" applyBorder="1">
      <alignment/>
      <protection/>
    </xf>
    <xf numFmtId="49" fontId="89" fillId="0" borderId="53" xfId="125" applyNumberFormat="1" applyFont="1" applyFill="1" applyBorder="1" applyAlignment="1">
      <alignment horizontal="center" vertical="center" wrapText="1"/>
      <protection/>
    </xf>
    <xf numFmtId="0" fontId="90" fillId="0" borderId="54" xfId="125" applyFont="1" applyFill="1" applyBorder="1" applyAlignment="1">
      <alignment horizontal="left" vertical="center" wrapText="1"/>
      <protection/>
    </xf>
    <xf numFmtId="49" fontId="91" fillId="0" borderId="54" xfId="125" applyNumberFormat="1" applyFont="1" applyFill="1" applyBorder="1" applyAlignment="1">
      <alignment horizontal="center" vertical="center" wrapText="1"/>
      <protection/>
    </xf>
    <xf numFmtId="49" fontId="91" fillId="0" borderId="0" xfId="125" applyNumberFormat="1" applyFont="1" applyFill="1" applyBorder="1" applyAlignment="1">
      <alignment horizontal="center" vertical="center" wrapText="1"/>
      <protection/>
    </xf>
    <xf numFmtId="0" fontId="91" fillId="0" borderId="0" xfId="125" applyFont="1" applyFill="1" applyBorder="1" applyAlignment="1">
      <alignment horizontal="center" vertical="center" wrapText="1"/>
      <protection/>
    </xf>
    <xf numFmtId="0" fontId="91" fillId="0" borderId="55" xfId="125" applyFont="1" applyFill="1" applyBorder="1" applyAlignment="1">
      <alignment horizontal="center" vertical="center" wrapText="1"/>
      <protection/>
    </xf>
    <xf numFmtId="49" fontId="91" fillId="0" borderId="56" xfId="125" applyNumberFormat="1" applyFont="1" applyFill="1" applyBorder="1" applyAlignment="1">
      <alignment horizontal="center" vertical="center" wrapText="1"/>
      <protection/>
    </xf>
    <xf numFmtId="4" fontId="92" fillId="0" borderId="0" xfId="125" applyNumberFormat="1" applyFont="1" applyFill="1" applyBorder="1" applyAlignment="1">
      <alignment vertical="center"/>
      <protection/>
    </xf>
    <xf numFmtId="4" fontId="92" fillId="0" borderId="54" xfId="125" applyNumberFormat="1" applyFont="1" applyFill="1" applyBorder="1" applyAlignment="1">
      <alignment vertical="center"/>
      <protection/>
    </xf>
    <xf numFmtId="4" fontId="92" fillId="0" borderId="56" xfId="125" applyNumberFormat="1" applyFont="1" applyFill="1" applyBorder="1" applyAlignment="1">
      <alignment vertical="center"/>
      <protection/>
    </xf>
    <xf numFmtId="4" fontId="86" fillId="0" borderId="0" xfId="125" applyNumberFormat="1" applyFont="1" applyFill="1">
      <alignment/>
      <protection/>
    </xf>
    <xf numFmtId="0" fontId="93" fillId="0" borderId="54" xfId="125" applyFont="1" applyFill="1" applyBorder="1" applyAlignment="1">
      <alignment horizontal="left" vertical="center" wrapText="1"/>
      <protection/>
    </xf>
    <xf numFmtId="49" fontId="92" fillId="0" borderId="54" xfId="125" applyNumberFormat="1" applyFont="1" applyFill="1" applyBorder="1" applyAlignment="1">
      <alignment horizontal="center" vertical="center" wrapText="1"/>
      <protection/>
    </xf>
    <xf numFmtId="49" fontId="92" fillId="0" borderId="0" xfId="125" applyNumberFormat="1" applyFont="1" applyFill="1" applyBorder="1" applyAlignment="1">
      <alignment horizontal="center" vertical="center" wrapText="1"/>
      <protection/>
    </xf>
    <xf numFmtId="49" fontId="92" fillId="0" borderId="55" xfId="125" applyNumberFormat="1" applyFont="1" applyFill="1" applyBorder="1" applyAlignment="1">
      <alignment horizontal="center" vertical="center" wrapText="1"/>
      <protection/>
    </xf>
    <xf numFmtId="49" fontId="92" fillId="0" borderId="56" xfId="125" applyNumberFormat="1" applyFont="1" applyFill="1" applyBorder="1" applyAlignment="1">
      <alignment horizontal="center" vertical="center" wrapText="1"/>
      <protection/>
    </xf>
    <xf numFmtId="4" fontId="92" fillId="0" borderId="55" xfId="125" applyNumberFormat="1" applyFont="1" applyFill="1" applyBorder="1" applyAlignment="1">
      <alignment vertical="center"/>
      <protection/>
    </xf>
    <xf numFmtId="49" fontId="91" fillId="0" borderId="53" xfId="125" applyNumberFormat="1" applyFont="1" applyFill="1" applyBorder="1" applyAlignment="1">
      <alignment horizontal="center" vertical="center" wrapText="1"/>
      <protection/>
    </xf>
    <xf numFmtId="0" fontId="92" fillId="0" borderId="54" xfId="125" applyNumberFormat="1" applyFont="1" applyFill="1" applyBorder="1" applyAlignment="1">
      <alignment horizontal="left" vertical="center" wrapText="1"/>
      <protection/>
    </xf>
    <xf numFmtId="0" fontId="92" fillId="0" borderId="0" xfId="125" applyFont="1" applyFill="1">
      <alignment/>
      <protection/>
    </xf>
    <xf numFmtId="0" fontId="86" fillId="0" borderId="54" xfId="0" applyFont="1" applyFill="1" applyBorder="1" applyAlignment="1">
      <alignment wrapText="1"/>
    </xf>
    <xf numFmtId="49" fontId="86" fillId="0" borderId="54" xfId="125" applyNumberFormat="1" applyFont="1" applyFill="1" applyBorder="1" applyAlignment="1">
      <alignment horizontal="center" vertical="distributed"/>
      <protection/>
    </xf>
    <xf numFmtId="49" fontId="94" fillId="0" borderId="0" xfId="125" applyNumberFormat="1" applyFont="1" applyFill="1" applyBorder="1" applyAlignment="1">
      <alignment horizontal="center" vertical="distributed"/>
      <protection/>
    </xf>
    <xf numFmtId="49" fontId="86" fillId="0" borderId="0" xfId="125" applyNumberFormat="1" applyFont="1" applyFill="1" applyBorder="1" applyAlignment="1">
      <alignment horizontal="center" vertical="distributed"/>
      <protection/>
    </xf>
    <xf numFmtId="49" fontId="94" fillId="0" borderId="0" xfId="125" applyNumberFormat="1" applyFont="1" applyFill="1" applyBorder="1" applyAlignment="1">
      <alignment horizontal="center" vertical="distributed"/>
      <protection/>
    </xf>
    <xf numFmtId="49" fontId="86" fillId="0" borderId="55" xfId="125" applyNumberFormat="1" applyFont="1" applyFill="1" applyBorder="1" applyAlignment="1">
      <alignment horizontal="center" vertical="distributed"/>
      <protection/>
    </xf>
    <xf numFmtId="49" fontId="94" fillId="0" borderId="56" xfId="125" applyNumberFormat="1" applyFont="1" applyFill="1" applyBorder="1" applyAlignment="1">
      <alignment horizontal="center" vertical="center"/>
      <protection/>
    </xf>
    <xf numFmtId="4" fontId="86" fillId="0" borderId="0" xfId="125" applyNumberFormat="1" applyFont="1" applyFill="1" applyBorder="1" applyAlignment="1">
      <alignment vertical="center"/>
      <protection/>
    </xf>
    <xf numFmtId="4" fontId="86" fillId="0" borderId="54" xfId="125" applyNumberFormat="1" applyFont="1" applyFill="1" applyBorder="1" applyAlignment="1">
      <alignment vertical="center"/>
      <protection/>
    </xf>
    <xf numFmtId="4" fontId="86" fillId="0" borderId="56" xfId="125" applyNumberFormat="1" applyFont="1" applyFill="1" applyBorder="1" applyAlignment="1">
      <alignment vertical="center"/>
      <protection/>
    </xf>
    <xf numFmtId="4" fontId="86" fillId="0" borderId="55" xfId="125" applyNumberFormat="1" applyFont="1" applyFill="1" applyBorder="1" applyAlignment="1">
      <alignment vertical="center"/>
      <protection/>
    </xf>
    <xf numFmtId="0" fontId="86" fillId="0" borderId="54" xfId="125" applyFont="1" applyFill="1" applyBorder="1" applyAlignment="1">
      <alignment horizontal="left" vertical="center" wrapText="1"/>
      <protection/>
    </xf>
    <xf numFmtId="0" fontId="86" fillId="0" borderId="54" xfId="0" applyFont="1" applyFill="1" applyBorder="1" applyAlignment="1">
      <alignment horizontal="justify"/>
    </xf>
    <xf numFmtId="49" fontId="86" fillId="0" borderId="0" xfId="125" applyNumberFormat="1" applyFont="1" applyFill="1" applyBorder="1" applyAlignment="1">
      <alignment horizontal="center" vertical="center"/>
      <protection/>
    </xf>
    <xf numFmtId="49" fontId="86" fillId="0" borderId="56" xfId="125" applyNumberFormat="1" applyFont="1" applyFill="1" applyBorder="1" applyAlignment="1">
      <alignment horizontal="center" vertical="center"/>
      <protection/>
    </xf>
    <xf numFmtId="4" fontId="86" fillId="0" borderId="54" xfId="125" applyNumberFormat="1" applyFont="1" applyFill="1" applyBorder="1" applyAlignment="1">
      <alignment horizontal="right" vertical="distributed"/>
      <protection/>
    </xf>
    <xf numFmtId="4" fontId="86" fillId="0" borderId="56" xfId="125" applyNumberFormat="1" applyFont="1" applyFill="1" applyBorder="1" applyAlignment="1">
      <alignment horizontal="right" vertical="distributed"/>
      <protection/>
    </xf>
    <xf numFmtId="4" fontId="86" fillId="0" borderId="55" xfId="125" applyNumberFormat="1" applyFont="1" applyFill="1" applyBorder="1" applyAlignment="1">
      <alignment horizontal="right" vertical="distributed"/>
      <protection/>
    </xf>
    <xf numFmtId="49" fontId="86" fillId="0" borderId="54" xfId="125" applyNumberFormat="1" applyFont="1" applyFill="1" applyBorder="1" applyAlignment="1">
      <alignment horizontal="center" vertical="center" wrapText="1"/>
      <protection/>
    </xf>
    <xf numFmtId="49" fontId="86" fillId="0" borderId="0" xfId="125" applyNumberFormat="1" applyFont="1" applyFill="1" applyBorder="1" applyAlignment="1">
      <alignment horizontal="center" vertical="center" wrapText="1"/>
      <protection/>
    </xf>
    <xf numFmtId="49" fontId="86" fillId="0" borderId="56" xfId="125" applyNumberFormat="1" applyFont="1" applyFill="1" applyBorder="1" applyAlignment="1">
      <alignment horizontal="center" vertical="center" wrapText="1"/>
      <protection/>
    </xf>
    <xf numFmtId="49" fontId="86" fillId="0" borderId="54" xfId="125" applyNumberFormat="1" applyFont="1" applyFill="1" applyBorder="1" applyAlignment="1">
      <alignment horizontal="center" vertical="center"/>
      <protection/>
    </xf>
    <xf numFmtId="4" fontId="86" fillId="0" borderId="0" xfId="0" applyNumberFormat="1" applyFont="1" applyFill="1" applyBorder="1" applyAlignment="1">
      <alignment vertical="center"/>
    </xf>
    <xf numFmtId="4" fontId="86" fillId="0" borderId="54" xfId="0" applyNumberFormat="1" applyFont="1" applyFill="1" applyBorder="1" applyAlignment="1">
      <alignment vertical="center"/>
    </xf>
    <xf numFmtId="4" fontId="86" fillId="0" borderId="56" xfId="0" applyNumberFormat="1" applyFont="1" applyFill="1" applyBorder="1" applyAlignment="1">
      <alignment vertical="center"/>
    </xf>
    <xf numFmtId="4" fontId="86" fillId="0" borderId="55" xfId="0" applyNumberFormat="1" applyFont="1" applyFill="1" applyBorder="1" applyAlignment="1">
      <alignment vertical="center"/>
    </xf>
    <xf numFmtId="4" fontId="86" fillId="0" borderId="54" xfId="0" applyNumberFormat="1" applyFont="1" applyFill="1" applyBorder="1" applyAlignment="1">
      <alignment horizontal="right" vertical="distributed"/>
    </xf>
    <xf numFmtId="4" fontId="86" fillId="0" borderId="56" xfId="0" applyNumberFormat="1" applyFont="1" applyFill="1" applyBorder="1" applyAlignment="1">
      <alignment horizontal="right" vertical="distributed"/>
    </xf>
    <xf numFmtId="4" fontId="86" fillId="0" borderId="55" xfId="0" applyNumberFormat="1" applyFont="1" applyFill="1" applyBorder="1" applyAlignment="1">
      <alignment horizontal="right" vertical="distributed"/>
    </xf>
    <xf numFmtId="49" fontId="86" fillId="0" borderId="54" xfId="125" applyNumberFormat="1" applyFont="1" applyFill="1" applyBorder="1" applyAlignment="1">
      <alignment horizontal="center" vertical="distributed" wrapText="1"/>
      <protection/>
    </xf>
    <xf numFmtId="49" fontId="86" fillId="0" borderId="0" xfId="125" applyNumberFormat="1" applyFont="1" applyFill="1" applyBorder="1" applyAlignment="1">
      <alignment horizontal="center" vertical="distributed" wrapText="1"/>
      <protection/>
    </xf>
    <xf numFmtId="4" fontId="86" fillId="0" borderId="0" xfId="125" applyNumberFormat="1" applyFont="1" applyFill="1" applyBorder="1" applyAlignment="1">
      <alignment horizontal="right" vertical="distributed"/>
      <protection/>
    </xf>
    <xf numFmtId="0" fontId="86" fillId="0" borderId="54" xfId="125" applyNumberFormat="1" applyFont="1" applyFill="1" applyBorder="1" applyAlignment="1">
      <alignment horizontal="left" vertical="center" wrapText="1"/>
      <protection/>
    </xf>
    <xf numFmtId="49" fontId="92" fillId="0" borderId="0" xfId="125" applyNumberFormat="1" applyFont="1" applyFill="1" applyBorder="1" applyAlignment="1">
      <alignment horizontal="center" vertical="center"/>
      <protection/>
    </xf>
    <xf numFmtId="49" fontId="92" fillId="0" borderId="55" xfId="125" applyNumberFormat="1" applyFont="1" applyFill="1" applyBorder="1" applyAlignment="1">
      <alignment horizontal="center" vertical="distributed"/>
      <protection/>
    </xf>
    <xf numFmtId="49" fontId="86" fillId="0" borderId="54" xfId="0" applyNumberFormat="1" applyFont="1" applyFill="1" applyBorder="1" applyAlignment="1">
      <alignment horizontal="center" vertical="distributed"/>
    </xf>
    <xf numFmtId="49" fontId="86" fillId="0" borderId="0" xfId="0" applyNumberFormat="1" applyFont="1" applyFill="1" applyBorder="1" applyAlignment="1">
      <alignment horizontal="center" vertical="distributed"/>
    </xf>
    <xf numFmtId="49" fontId="94" fillId="0" borderId="0" xfId="125" applyNumberFormat="1" applyFont="1" applyFill="1" applyBorder="1" applyAlignment="1">
      <alignment horizontal="center" vertical="center"/>
      <protection/>
    </xf>
    <xf numFmtId="49" fontId="92" fillId="0" borderId="54" xfId="125" applyNumberFormat="1" applyFont="1" applyFill="1" applyBorder="1" applyAlignment="1">
      <alignment horizontal="center" vertical="distributed" wrapText="1"/>
      <protection/>
    </xf>
    <xf numFmtId="49" fontId="92" fillId="0" borderId="0" xfId="125" applyNumberFormat="1" applyFont="1" applyFill="1" applyBorder="1" applyAlignment="1">
      <alignment horizontal="center" vertical="distributed" wrapText="1"/>
      <protection/>
    </xf>
    <xf numFmtId="49" fontId="92" fillId="0" borderId="0" xfId="125" applyNumberFormat="1" applyFont="1" applyFill="1" applyBorder="1" applyAlignment="1">
      <alignment horizontal="center" vertical="distributed"/>
      <protection/>
    </xf>
    <xf numFmtId="0" fontId="86" fillId="0" borderId="57" xfId="0" applyFont="1" applyFill="1" applyBorder="1" applyAlignment="1">
      <alignment horizontal="left" vertical="center" wrapText="1"/>
    </xf>
    <xf numFmtId="49" fontId="86" fillId="0" borderId="57" xfId="0" applyNumberFormat="1" applyFont="1" applyFill="1" applyBorder="1" applyAlignment="1">
      <alignment horizontal="center" vertical="center"/>
    </xf>
    <xf numFmtId="49" fontId="86" fillId="0" borderId="58" xfId="0" applyNumberFormat="1" applyFont="1" applyFill="1" applyBorder="1" applyAlignment="1">
      <alignment horizontal="center" vertical="center"/>
    </xf>
    <xf numFmtId="49" fontId="86" fillId="0" borderId="59" xfId="0" applyNumberFormat="1" applyFont="1" applyFill="1" applyBorder="1" applyAlignment="1">
      <alignment horizontal="center" vertical="center"/>
    </xf>
    <xf numFmtId="49" fontId="86" fillId="0" borderId="60" xfId="0" applyNumberFormat="1" applyFont="1" applyFill="1" applyBorder="1" applyAlignment="1">
      <alignment horizontal="center" vertical="center"/>
    </xf>
    <xf numFmtId="4" fontId="86" fillId="0" borderId="58" xfId="0" applyNumberFormat="1" applyFont="1" applyFill="1" applyBorder="1" applyAlignment="1">
      <alignment vertical="center"/>
    </xf>
    <xf numFmtId="4" fontId="86" fillId="0" borderId="57" xfId="0" applyNumberFormat="1" applyFont="1" applyFill="1" applyBorder="1" applyAlignment="1">
      <alignment vertical="center"/>
    </xf>
    <xf numFmtId="4" fontId="86" fillId="0" borderId="60" xfId="0" applyNumberFormat="1" applyFont="1" applyFill="1" applyBorder="1" applyAlignment="1">
      <alignment vertical="center"/>
    </xf>
    <xf numFmtId="4" fontId="86" fillId="0" borderId="59" xfId="0" applyNumberFormat="1" applyFont="1" applyFill="1" applyBorder="1" applyAlignment="1">
      <alignment vertical="center"/>
    </xf>
    <xf numFmtId="0" fontId="93" fillId="0" borderId="44" xfId="125" applyNumberFormat="1" applyFont="1" applyFill="1" applyBorder="1" applyAlignment="1">
      <alignment horizontal="left" vertical="center" wrapText="1"/>
      <protection/>
    </xf>
    <xf numFmtId="49" fontId="92" fillId="0" borderId="44" xfId="125" applyNumberFormat="1" applyFont="1" applyFill="1" applyBorder="1" applyAlignment="1">
      <alignment horizontal="center" vertical="distributed"/>
      <protection/>
    </xf>
    <xf numFmtId="49" fontId="92" fillId="0" borderId="50" xfId="125" applyNumberFormat="1" applyFont="1" applyFill="1" applyBorder="1" applyAlignment="1">
      <alignment horizontal="center" vertical="distributed"/>
      <protection/>
    </xf>
    <xf numFmtId="49" fontId="92" fillId="0" borderId="51" xfId="125" applyNumberFormat="1" applyFont="1" applyFill="1" applyBorder="1" applyAlignment="1">
      <alignment horizontal="center" vertical="distributed"/>
      <protection/>
    </xf>
    <xf numFmtId="49" fontId="86" fillId="0" borderId="52" xfId="125" applyNumberFormat="1" applyFont="1" applyFill="1" applyBorder="1" applyAlignment="1">
      <alignment horizontal="center" vertical="center"/>
      <protection/>
    </xf>
    <xf numFmtId="4" fontId="92" fillId="0" borderId="50" xfId="0" applyNumberFormat="1" applyFont="1" applyFill="1" applyBorder="1" applyAlignment="1">
      <alignment vertical="center"/>
    </xf>
    <xf numFmtId="4" fontId="92" fillId="0" borderId="44" xfId="0" applyNumberFormat="1" applyFont="1" applyFill="1" applyBorder="1" applyAlignment="1">
      <alignment vertical="center"/>
    </xf>
    <xf numFmtId="4" fontId="92" fillId="0" borderId="52" xfId="0" applyNumberFormat="1" applyFont="1" applyFill="1" applyBorder="1" applyAlignment="1">
      <alignment vertical="center"/>
    </xf>
    <xf numFmtId="4" fontId="92" fillId="0" borderId="51" xfId="0" applyNumberFormat="1" applyFont="1" applyFill="1" applyBorder="1" applyAlignment="1">
      <alignment vertical="center"/>
    </xf>
    <xf numFmtId="49" fontId="94" fillId="0" borderId="54" xfId="125" applyNumberFormat="1" applyFont="1" applyFill="1" applyBorder="1" applyAlignment="1">
      <alignment horizontal="center" vertical="distributed"/>
      <protection/>
    </xf>
    <xf numFmtId="49" fontId="94" fillId="0" borderId="55" xfId="0" applyNumberFormat="1" applyFont="1" applyFill="1" applyBorder="1" applyAlignment="1">
      <alignment horizontal="center" vertical="distributed"/>
    </xf>
    <xf numFmtId="49" fontId="94" fillId="0" borderId="56" xfId="0" applyNumberFormat="1" applyFont="1" applyFill="1" applyBorder="1" applyAlignment="1">
      <alignment horizontal="center" vertical="center"/>
    </xf>
    <xf numFmtId="0" fontId="94" fillId="0" borderId="54" xfId="0" applyFont="1" applyFill="1" applyBorder="1" applyAlignment="1" applyProtection="1">
      <alignment horizontal="left" vertical="center" wrapText="1"/>
      <protection locked="0"/>
    </xf>
    <xf numFmtId="4" fontId="94" fillId="0" borderId="54" xfId="0" applyNumberFormat="1" applyFont="1" applyFill="1" applyBorder="1" applyAlignment="1">
      <alignment horizontal="right" vertical="distributed"/>
    </xf>
    <xf numFmtId="4" fontId="94" fillId="0" borderId="56" xfId="0" applyNumberFormat="1" applyFont="1" applyFill="1" applyBorder="1" applyAlignment="1">
      <alignment horizontal="right" vertical="distributed"/>
    </xf>
    <xf numFmtId="4" fontId="94" fillId="0" borderId="55" xfId="0" applyNumberFormat="1" applyFont="1" applyFill="1" applyBorder="1" applyAlignment="1">
      <alignment horizontal="right" vertical="distributed"/>
    </xf>
    <xf numFmtId="0" fontId="93" fillId="0" borderId="54" xfId="125" applyNumberFormat="1" applyFont="1" applyFill="1" applyBorder="1" applyAlignment="1">
      <alignment horizontal="left" vertical="center" wrapText="1"/>
      <protection/>
    </xf>
    <xf numFmtId="49" fontId="92" fillId="0" borderId="44" xfId="125" applyNumberFormat="1" applyFont="1" applyFill="1" applyBorder="1" applyAlignment="1">
      <alignment horizontal="center" vertical="center" wrapText="1"/>
      <protection/>
    </xf>
    <xf numFmtId="49" fontId="92" fillId="0" borderId="50" xfId="125" applyNumberFormat="1" applyFont="1" applyFill="1" applyBorder="1" applyAlignment="1">
      <alignment horizontal="center" vertical="center" wrapText="1"/>
      <protection/>
    </xf>
    <xf numFmtId="49" fontId="92" fillId="0" borderId="50" xfId="125" applyNumberFormat="1" applyFont="1" applyFill="1" applyBorder="1" applyAlignment="1">
      <alignment horizontal="center" vertical="center"/>
      <protection/>
    </xf>
    <xf numFmtId="4" fontId="92" fillId="0" borderId="50" xfId="125" applyNumberFormat="1" applyFont="1" applyFill="1" applyBorder="1" applyAlignment="1">
      <alignment vertical="center"/>
      <protection/>
    </xf>
    <xf numFmtId="4" fontId="92" fillId="0" borderId="44" xfId="125" applyNumberFormat="1" applyFont="1" applyFill="1" applyBorder="1" applyAlignment="1">
      <alignment vertical="center"/>
      <protection/>
    </xf>
    <xf numFmtId="4" fontId="92" fillId="0" borderId="52" xfId="125" applyNumberFormat="1" applyFont="1" applyFill="1" applyBorder="1" applyAlignment="1">
      <alignment vertical="center"/>
      <protection/>
    </xf>
    <xf numFmtId="4" fontId="92" fillId="0" borderId="51" xfId="125" applyNumberFormat="1" applyFont="1" applyFill="1" applyBorder="1" applyAlignment="1">
      <alignment vertical="center"/>
      <protection/>
    </xf>
    <xf numFmtId="0" fontId="86" fillId="0" borderId="54" xfId="0" applyFont="1" applyFill="1" applyBorder="1" applyAlignment="1">
      <alignment horizontal="left" vertical="center" wrapText="1"/>
    </xf>
    <xf numFmtId="49" fontId="94" fillId="0" borderId="54" xfId="0" applyNumberFormat="1" applyFont="1" applyFill="1" applyBorder="1" applyAlignment="1">
      <alignment horizontal="center" vertical="distributed"/>
    </xf>
    <xf numFmtId="49" fontId="94" fillId="0" borderId="0" xfId="0" applyNumberFormat="1" applyFont="1" applyFill="1" applyBorder="1" applyAlignment="1">
      <alignment horizontal="center" vertical="distributed"/>
    </xf>
    <xf numFmtId="0" fontId="86" fillId="0" borderId="54" xfId="0" applyFont="1" applyFill="1" applyBorder="1" applyAlignment="1">
      <alignment horizontal="left" wrapText="1"/>
    </xf>
    <xf numFmtId="49" fontId="86" fillId="0" borderId="56" xfId="0" applyNumberFormat="1" applyFont="1" applyFill="1" applyBorder="1" applyAlignment="1">
      <alignment horizontal="center" vertical="center"/>
    </xf>
    <xf numFmtId="49" fontId="94" fillId="0" borderId="57" xfId="0" applyNumberFormat="1" applyFont="1" applyFill="1" applyBorder="1" applyAlignment="1">
      <alignment horizontal="center" vertical="distributed"/>
    </xf>
    <xf numFmtId="49" fontId="94" fillId="0" borderId="58" xfId="0" applyNumberFormat="1" applyFont="1" applyFill="1" applyBorder="1" applyAlignment="1">
      <alignment horizontal="center" vertical="distributed"/>
    </xf>
    <xf numFmtId="49" fontId="86" fillId="0" borderId="58" xfId="125" applyNumberFormat="1" applyFont="1" applyFill="1" applyBorder="1" applyAlignment="1">
      <alignment horizontal="center" vertical="distributed"/>
      <protection/>
    </xf>
    <xf numFmtId="49" fontId="94" fillId="0" borderId="59" xfId="0" applyNumberFormat="1" applyFont="1" applyFill="1" applyBorder="1" applyAlignment="1">
      <alignment horizontal="center" vertical="distributed"/>
    </xf>
    <xf numFmtId="49" fontId="94" fillId="0" borderId="60" xfId="0" applyNumberFormat="1" applyFont="1" applyFill="1" applyBorder="1" applyAlignment="1">
      <alignment horizontal="center" vertical="center"/>
    </xf>
    <xf numFmtId="4" fontId="86" fillId="0" borderId="57" xfId="125" applyNumberFormat="1" applyFont="1" applyFill="1" applyBorder="1" applyAlignment="1">
      <alignment vertical="center"/>
      <protection/>
    </xf>
    <xf numFmtId="4" fontId="86" fillId="0" borderId="60" xfId="125" applyNumberFormat="1" applyFont="1" applyFill="1" applyBorder="1" applyAlignment="1">
      <alignment vertical="center"/>
      <protection/>
    </xf>
    <xf numFmtId="4" fontId="86" fillId="0" borderId="59" xfId="125" applyNumberFormat="1" applyFont="1" applyFill="1" applyBorder="1" applyAlignment="1">
      <alignment vertical="center"/>
      <protection/>
    </xf>
    <xf numFmtId="0" fontId="86" fillId="0" borderId="44" xfId="125" applyFont="1" applyFill="1" applyBorder="1" applyAlignment="1">
      <alignment horizontal="left" vertical="center" wrapText="1"/>
      <protection/>
    </xf>
    <xf numFmtId="49" fontId="94" fillId="0" borderId="44" xfId="125" applyNumberFormat="1" applyFont="1" applyFill="1" applyBorder="1" applyAlignment="1">
      <alignment horizontal="center" vertical="center"/>
      <protection/>
    </xf>
    <xf numFmtId="49" fontId="94" fillId="0" borderId="50" xfId="125" applyNumberFormat="1" applyFont="1" applyFill="1" applyBorder="1" applyAlignment="1">
      <alignment horizontal="center" vertical="center"/>
      <protection/>
    </xf>
    <xf numFmtId="49" fontId="94" fillId="0" borderId="50" xfId="125" applyNumberFormat="1" applyFont="1" applyFill="1" applyBorder="1" applyAlignment="1">
      <alignment horizontal="center" vertical="center"/>
      <protection/>
    </xf>
    <xf numFmtId="49" fontId="94" fillId="0" borderId="51" xfId="125" applyNumberFormat="1" applyFont="1" applyFill="1" applyBorder="1" applyAlignment="1">
      <alignment horizontal="center" vertical="center"/>
      <protection/>
    </xf>
    <xf numFmtId="49" fontId="94" fillId="0" borderId="52" xfId="125" applyNumberFormat="1" applyFont="1" applyFill="1" applyBorder="1" applyAlignment="1">
      <alignment horizontal="center" vertical="center"/>
      <protection/>
    </xf>
    <xf numFmtId="4" fontId="86" fillId="0" borderId="50" xfId="0" applyNumberFormat="1" applyFont="1" applyFill="1" applyBorder="1" applyAlignment="1">
      <alignment vertical="center"/>
    </xf>
    <xf numFmtId="4" fontId="86" fillId="0" borderId="44" xfId="0" applyNumberFormat="1" applyFont="1" applyFill="1" applyBorder="1" applyAlignment="1">
      <alignment vertical="center"/>
    </xf>
    <xf numFmtId="4" fontId="86" fillId="0" borderId="52" xfId="0" applyNumberFormat="1" applyFont="1" applyFill="1" applyBorder="1" applyAlignment="1">
      <alignment vertical="center"/>
    </xf>
    <xf numFmtId="4" fontId="86" fillId="0" borderId="51" xfId="0" applyNumberFormat="1" applyFont="1" applyFill="1" applyBorder="1" applyAlignment="1">
      <alignment vertical="center"/>
    </xf>
    <xf numFmtId="0" fontId="94" fillId="0" borderId="54" xfId="127" applyFont="1" applyFill="1" applyBorder="1" applyAlignment="1">
      <alignment vertical="top" wrapText="1"/>
      <protection/>
    </xf>
    <xf numFmtId="49" fontId="92" fillId="0" borderId="0" xfId="125" applyNumberFormat="1" applyFont="1" applyFill="1" applyAlignment="1">
      <alignment horizontal="center" vertical="center"/>
      <protection/>
    </xf>
    <xf numFmtId="0" fontId="93" fillId="0" borderId="44" xfId="125" applyFont="1" applyFill="1" applyBorder="1" applyAlignment="1">
      <alignment wrapText="1"/>
      <protection/>
    </xf>
    <xf numFmtId="49" fontId="92" fillId="0" borderId="52" xfId="125" applyNumberFormat="1" applyFont="1" applyFill="1" applyBorder="1">
      <alignment/>
      <protection/>
    </xf>
    <xf numFmtId="0" fontId="86" fillId="0" borderId="0" xfId="125" applyFont="1" applyFill="1" applyBorder="1" applyAlignment="1">
      <alignment horizontal="center" vertical="distributed"/>
      <protection/>
    </xf>
    <xf numFmtId="0" fontId="86" fillId="0" borderId="57" xfId="125" applyFont="1" applyFill="1" applyBorder="1" applyAlignment="1">
      <alignment horizontal="left" vertical="center" wrapText="1"/>
      <protection/>
    </xf>
    <xf numFmtId="49" fontId="94" fillId="0" borderId="57" xfId="125" applyNumberFormat="1" applyFont="1" applyFill="1" applyBorder="1" applyAlignment="1">
      <alignment horizontal="center" vertical="distributed"/>
      <protection/>
    </xf>
    <xf numFmtId="49" fontId="94" fillId="0" borderId="58" xfId="125" applyNumberFormat="1" applyFont="1" applyFill="1" applyBorder="1" applyAlignment="1">
      <alignment horizontal="center" vertical="distributed"/>
      <protection/>
    </xf>
    <xf numFmtId="0" fontId="86" fillId="0" borderId="58" xfId="125" applyFont="1" applyFill="1" applyBorder="1" applyAlignment="1">
      <alignment horizontal="center" vertical="distributed"/>
      <protection/>
    </xf>
    <xf numFmtId="49" fontId="86" fillId="0" borderId="59" xfId="125" applyNumberFormat="1" applyFont="1" applyFill="1" applyBorder="1" applyAlignment="1">
      <alignment horizontal="center" vertical="distributed"/>
      <protection/>
    </xf>
    <xf numFmtId="49" fontId="94" fillId="0" borderId="60" xfId="125" applyNumberFormat="1" applyFont="1" applyFill="1" applyBorder="1" applyAlignment="1">
      <alignment horizontal="center" vertical="center"/>
      <protection/>
    </xf>
    <xf numFmtId="4" fontId="86" fillId="0" borderId="58" xfId="125" applyNumberFormat="1" applyFont="1" applyFill="1" applyBorder="1" applyAlignment="1">
      <alignment/>
      <protection/>
    </xf>
    <xf numFmtId="4" fontId="86" fillId="0" borderId="57" xfId="125" applyNumberFormat="1" applyFont="1" applyFill="1" applyBorder="1" applyAlignment="1">
      <alignment/>
      <protection/>
    </xf>
    <xf numFmtId="4" fontId="86" fillId="0" borderId="60" xfId="125" applyNumberFormat="1" applyFont="1" applyFill="1" applyBorder="1" applyAlignment="1">
      <alignment/>
      <protection/>
    </xf>
    <xf numFmtId="4" fontId="86" fillId="0" borderId="59" xfId="125" applyNumberFormat="1" applyFont="1" applyFill="1" applyBorder="1" applyAlignment="1">
      <alignment/>
      <protection/>
    </xf>
    <xf numFmtId="0" fontId="86" fillId="0" borderId="54" xfId="125" applyFont="1" applyFill="1" applyBorder="1" applyAlignment="1">
      <alignment horizontal="left" vertical="distributed" wrapText="1"/>
      <protection/>
    </xf>
    <xf numFmtId="49" fontId="86" fillId="0" borderId="57" xfId="125" applyNumberFormat="1" applyFont="1" applyFill="1" applyBorder="1" applyAlignment="1">
      <alignment horizontal="center" vertical="distributed"/>
      <protection/>
    </xf>
    <xf numFmtId="49" fontId="86" fillId="0" borderId="58" xfId="125" applyNumberFormat="1" applyFont="1" applyFill="1" applyBorder="1" applyAlignment="1">
      <alignment horizontal="center" vertical="distributed" wrapText="1"/>
      <protection/>
    </xf>
    <xf numFmtId="4" fontId="86" fillId="0" borderId="58" xfId="125" applyNumberFormat="1" applyFont="1" applyFill="1" applyBorder="1" applyAlignment="1">
      <alignment vertical="center"/>
      <protection/>
    </xf>
    <xf numFmtId="49" fontId="86" fillId="0" borderId="51" xfId="125" applyNumberFormat="1" applyFont="1" applyFill="1" applyBorder="1" applyAlignment="1">
      <alignment horizontal="center" vertical="center" wrapText="1"/>
      <protection/>
    </xf>
    <xf numFmtId="0" fontId="92" fillId="0" borderId="54" xfId="0" applyFont="1" applyFill="1" applyBorder="1" applyAlignment="1">
      <alignment horizontal="left" vertical="center" wrapText="1"/>
    </xf>
    <xf numFmtId="49" fontId="92" fillId="0" borderId="54" xfId="0" applyNumberFormat="1" applyFont="1" applyFill="1" applyBorder="1" applyAlignment="1">
      <alignment horizontal="center" vertical="distributed"/>
    </xf>
    <xf numFmtId="49" fontId="92" fillId="0" borderId="0" xfId="0" applyNumberFormat="1" applyFont="1" applyFill="1" applyBorder="1" applyAlignment="1">
      <alignment horizontal="center" vertical="distributed"/>
    </xf>
    <xf numFmtId="49" fontId="92" fillId="0" borderId="55" xfId="0" applyNumberFormat="1" applyFont="1" applyFill="1" applyBorder="1" applyAlignment="1">
      <alignment horizontal="center" vertical="center"/>
    </xf>
    <xf numFmtId="49" fontId="86" fillId="0" borderId="55" xfId="0" applyNumberFormat="1" applyFont="1" applyFill="1" applyBorder="1" applyAlignment="1">
      <alignment horizontal="center" vertical="center"/>
    </xf>
    <xf numFmtId="49" fontId="86" fillId="0" borderId="55" xfId="125" applyNumberFormat="1" applyFont="1" applyFill="1" applyBorder="1" applyAlignment="1">
      <alignment horizontal="center" vertical="center" wrapText="1"/>
      <protection/>
    </xf>
    <xf numFmtId="49" fontId="92" fillId="0" borderId="54" xfId="0" applyNumberFormat="1" applyFont="1" applyFill="1" applyBorder="1" applyAlignment="1">
      <alignment horizontal="center" vertical="center"/>
    </xf>
    <xf numFmtId="49" fontId="92" fillId="0" borderId="0" xfId="0" applyNumberFormat="1" applyFont="1" applyFill="1" applyBorder="1" applyAlignment="1">
      <alignment horizontal="center" vertical="center"/>
    </xf>
    <xf numFmtId="4" fontId="92" fillId="0" borderId="0" xfId="0" applyNumberFormat="1" applyFont="1" applyFill="1" applyBorder="1" applyAlignment="1">
      <alignment vertical="center"/>
    </xf>
    <xf numFmtId="4" fontId="92" fillId="0" borderId="54" xfId="0" applyNumberFormat="1" applyFont="1" applyFill="1" applyBorder="1" applyAlignment="1">
      <alignment vertical="center"/>
    </xf>
    <xf numFmtId="4" fontId="92" fillId="0" borderId="56" xfId="0" applyNumberFormat="1" applyFont="1" applyFill="1" applyBorder="1" applyAlignment="1">
      <alignment vertical="center"/>
    </xf>
    <xf numFmtId="4" fontId="92" fillId="0" borderId="55" xfId="0" applyNumberFormat="1" applyFont="1" applyFill="1" applyBorder="1" applyAlignment="1">
      <alignment vertical="center"/>
    </xf>
    <xf numFmtId="49" fontId="86" fillId="0" borderId="57" xfId="0" applyNumberFormat="1" applyFont="1" applyFill="1" applyBorder="1" applyAlignment="1">
      <alignment horizontal="center" vertical="distributed"/>
    </xf>
    <xf numFmtId="49" fontId="86" fillId="0" borderId="58" xfId="0" applyNumberFormat="1" applyFont="1" applyFill="1" applyBorder="1" applyAlignment="1">
      <alignment horizontal="center" vertical="distributed"/>
    </xf>
    <xf numFmtId="49" fontId="94" fillId="0" borderId="59" xfId="125" applyNumberFormat="1" applyFont="1" applyFill="1" applyBorder="1" applyAlignment="1">
      <alignment horizontal="center" vertical="center"/>
      <protection/>
    </xf>
    <xf numFmtId="49" fontId="86" fillId="0" borderId="54" xfId="0" applyNumberFormat="1" applyFont="1" applyFill="1" applyBorder="1" applyAlignment="1">
      <alignment horizontal="center" vertical="center"/>
    </xf>
    <xf numFmtId="49" fontId="86" fillId="0" borderId="0" xfId="0" applyNumberFormat="1" applyFont="1" applyFill="1" applyBorder="1" applyAlignment="1">
      <alignment horizontal="center" vertical="center"/>
    </xf>
    <xf numFmtId="49" fontId="92" fillId="0" borderId="53" xfId="125" applyNumberFormat="1" applyFont="1" applyFill="1" applyBorder="1" applyAlignment="1">
      <alignment horizontal="center" vertical="center"/>
      <protection/>
    </xf>
    <xf numFmtId="49" fontId="92" fillId="0" borderId="54" xfId="125" applyNumberFormat="1" applyFont="1" applyFill="1" applyBorder="1" applyAlignment="1">
      <alignment horizontal="center" vertical="center"/>
      <protection/>
    </xf>
    <xf numFmtId="49" fontId="92" fillId="0" borderId="56" xfId="125" applyNumberFormat="1" applyFont="1" applyFill="1" applyBorder="1" applyAlignment="1">
      <alignment horizontal="center" vertical="center"/>
      <protection/>
    </xf>
    <xf numFmtId="49" fontId="86" fillId="0" borderId="53" xfId="125" applyNumberFormat="1" applyFont="1" applyFill="1" applyBorder="1" applyAlignment="1">
      <alignment horizontal="center" vertical="center"/>
      <protection/>
    </xf>
    <xf numFmtId="49" fontId="86" fillId="0" borderId="57" xfId="125" applyNumberFormat="1" applyFont="1" applyFill="1" applyBorder="1" applyAlignment="1">
      <alignment horizontal="center" vertical="center"/>
      <protection/>
    </xf>
    <xf numFmtId="49" fontId="86" fillId="0" borderId="58" xfId="125" applyNumberFormat="1" applyFont="1" applyFill="1" applyBorder="1" applyAlignment="1">
      <alignment horizontal="center" vertical="center"/>
      <protection/>
    </xf>
    <xf numFmtId="49" fontId="86" fillId="0" borderId="59" xfId="125" applyNumberFormat="1" applyFont="1" applyFill="1" applyBorder="1" applyAlignment="1">
      <alignment horizontal="center" vertical="center"/>
      <protection/>
    </xf>
    <xf numFmtId="49" fontId="86" fillId="0" borderId="60" xfId="125" applyNumberFormat="1" applyFont="1" applyFill="1" applyBorder="1" applyAlignment="1">
      <alignment horizontal="center" vertical="center"/>
      <protection/>
    </xf>
    <xf numFmtId="49" fontId="92" fillId="0" borderId="44" xfId="125" applyNumberFormat="1" applyFont="1" applyFill="1" applyBorder="1" applyAlignment="1">
      <alignment horizontal="center" vertical="center"/>
      <protection/>
    </xf>
    <xf numFmtId="49" fontId="86" fillId="0" borderId="55" xfId="125" applyNumberFormat="1" applyFont="1" applyFill="1" applyBorder="1" applyAlignment="1">
      <alignment horizontal="center" vertical="center"/>
      <protection/>
    </xf>
    <xf numFmtId="4" fontId="86" fillId="0" borderId="50" xfId="125" applyNumberFormat="1" applyFont="1" applyFill="1" applyBorder="1" applyAlignment="1">
      <alignment vertical="center"/>
      <protection/>
    </xf>
    <xf numFmtId="4" fontId="86" fillId="0" borderId="44" xfId="125" applyNumberFormat="1" applyFont="1" applyFill="1" applyBorder="1" applyAlignment="1">
      <alignment vertical="center"/>
      <protection/>
    </xf>
    <xf numFmtId="4" fontId="86" fillId="0" borderId="52" xfId="125" applyNumberFormat="1" applyFont="1" applyFill="1" applyBorder="1" applyAlignment="1">
      <alignment vertical="center"/>
      <protection/>
    </xf>
    <xf numFmtId="4" fontId="86" fillId="0" borderId="51" xfId="125" applyNumberFormat="1" applyFont="1" applyFill="1" applyBorder="1" applyAlignment="1">
      <alignment vertical="center"/>
      <protection/>
    </xf>
    <xf numFmtId="49" fontId="94" fillId="0" borderId="54" xfId="125" applyNumberFormat="1" applyFont="1" applyFill="1" applyBorder="1" applyAlignment="1">
      <alignment horizontal="center" vertical="center"/>
      <protection/>
    </xf>
    <xf numFmtId="49" fontId="94" fillId="0" borderId="0" xfId="125" applyNumberFormat="1" applyFont="1" applyFill="1" applyBorder="1" applyAlignment="1">
      <alignment horizontal="center" vertical="center"/>
      <protection/>
    </xf>
    <xf numFmtId="49" fontId="94" fillId="0" borderId="57" xfId="125" applyNumberFormat="1" applyFont="1" applyFill="1" applyBorder="1" applyAlignment="1">
      <alignment horizontal="center" vertical="center"/>
      <protection/>
    </xf>
    <xf numFmtId="49" fontId="94" fillId="0" borderId="58" xfId="125" applyNumberFormat="1" applyFont="1" applyFill="1" applyBorder="1" applyAlignment="1">
      <alignment horizontal="center" vertical="center"/>
      <protection/>
    </xf>
    <xf numFmtId="49" fontId="94" fillId="0" borderId="58" xfId="125" applyNumberFormat="1" applyFont="1" applyFill="1" applyBorder="1" applyAlignment="1">
      <alignment horizontal="center" vertical="center"/>
      <protection/>
    </xf>
    <xf numFmtId="49" fontId="86" fillId="0" borderId="44" xfId="125" applyNumberFormat="1" applyFont="1" applyFill="1" applyBorder="1" applyAlignment="1">
      <alignment horizontal="center" vertical="center"/>
      <protection/>
    </xf>
    <xf numFmtId="49" fontId="86" fillId="0" borderId="50" xfId="125" applyNumberFormat="1" applyFont="1" applyFill="1" applyBorder="1" applyAlignment="1">
      <alignment horizontal="center" vertical="center"/>
      <protection/>
    </xf>
    <xf numFmtId="49" fontId="86" fillId="0" borderId="51" xfId="125" applyNumberFormat="1" applyFont="1" applyFill="1" applyBorder="1" applyAlignment="1">
      <alignment horizontal="center" vertical="center"/>
      <protection/>
    </xf>
    <xf numFmtId="4" fontId="86" fillId="0" borderId="0" xfId="0" applyNumberFormat="1" applyFont="1" applyFill="1" applyBorder="1" applyAlignment="1">
      <alignment horizontal="right" vertical="distributed"/>
    </xf>
    <xf numFmtId="4" fontId="86" fillId="0" borderId="57" xfId="0" applyNumberFormat="1" applyFont="1" applyFill="1" applyBorder="1" applyAlignment="1">
      <alignment horizontal="right" vertical="distributed"/>
    </xf>
    <xf numFmtId="4" fontId="86" fillId="0" borderId="60" xfId="0" applyNumberFormat="1" applyFont="1" applyFill="1" applyBorder="1" applyAlignment="1">
      <alignment horizontal="right" vertical="distributed"/>
    </xf>
    <xf numFmtId="4" fontId="86" fillId="0" borderId="59" xfId="0" applyNumberFormat="1" applyFont="1" applyFill="1" applyBorder="1" applyAlignment="1">
      <alignment horizontal="right" vertical="distributed"/>
    </xf>
    <xf numFmtId="49" fontId="86" fillId="0" borderId="51" xfId="125" applyNumberFormat="1" applyFont="1" applyFill="1" applyBorder="1" applyAlignment="1">
      <alignment horizontal="center" vertical="distributed"/>
      <protection/>
    </xf>
    <xf numFmtId="49" fontId="95" fillId="0" borderId="54" xfId="125" applyNumberFormat="1" applyFont="1" applyFill="1" applyBorder="1" applyAlignment="1">
      <alignment horizontal="center" vertical="center"/>
      <protection/>
    </xf>
    <xf numFmtId="49" fontId="95" fillId="0" borderId="0" xfId="125" applyNumberFormat="1" applyFont="1" applyFill="1" applyBorder="1" applyAlignment="1">
      <alignment horizontal="center" vertical="center"/>
      <protection/>
    </xf>
    <xf numFmtId="49" fontId="95" fillId="0" borderId="0" xfId="125" applyNumberFormat="1" applyFont="1" applyFill="1" applyBorder="1" applyAlignment="1">
      <alignment horizontal="center" vertical="center"/>
      <protection/>
    </xf>
    <xf numFmtId="49" fontId="95" fillId="0" borderId="56" xfId="125" applyNumberFormat="1" applyFont="1" applyFill="1" applyBorder="1" applyAlignment="1">
      <alignment horizontal="center" vertical="center"/>
      <protection/>
    </xf>
    <xf numFmtId="0" fontId="86" fillId="0" borderId="54" xfId="125" applyFont="1" applyFill="1" applyBorder="1" applyAlignment="1">
      <alignment wrapText="1"/>
      <protection/>
    </xf>
    <xf numFmtId="4" fontId="86" fillId="0" borderId="57" xfId="125" applyNumberFormat="1" applyFont="1" applyFill="1" applyBorder="1" applyAlignment="1">
      <alignment horizontal="right" vertical="distributed"/>
      <protection/>
    </xf>
    <xf numFmtId="4" fontId="86" fillId="0" borderId="60" xfId="125" applyNumberFormat="1" applyFont="1" applyFill="1" applyBorder="1" applyAlignment="1">
      <alignment horizontal="right" vertical="distributed"/>
      <protection/>
    </xf>
    <xf numFmtId="4" fontId="86" fillId="0" borderId="59" xfId="125" applyNumberFormat="1" applyFont="1" applyFill="1" applyBorder="1" applyAlignment="1">
      <alignment horizontal="right" vertical="distributed"/>
      <protection/>
    </xf>
    <xf numFmtId="0" fontId="86" fillId="0" borderId="44" xfId="0" applyFont="1" applyFill="1" applyBorder="1" applyAlignment="1">
      <alignment horizontal="left" vertical="center" wrapText="1"/>
    </xf>
    <xf numFmtId="0" fontId="92" fillId="0" borderId="54" xfId="125" applyFont="1" applyFill="1" applyBorder="1" applyAlignment="1">
      <alignment horizontal="left" vertical="center" wrapText="1"/>
      <protection/>
    </xf>
    <xf numFmtId="49" fontId="94" fillId="0" borderId="58" xfId="125" applyNumberFormat="1" applyFont="1" applyFill="1" applyBorder="1" applyAlignment="1">
      <alignment horizontal="center" vertical="distributed"/>
      <protection/>
    </xf>
    <xf numFmtId="4" fontId="86" fillId="0" borderId="58" xfId="125" applyNumberFormat="1" applyFont="1" applyFill="1" applyBorder="1" applyAlignment="1">
      <alignment horizontal="right" vertical="distributed"/>
      <protection/>
    </xf>
    <xf numFmtId="49" fontId="92" fillId="0" borderId="51" xfId="125" applyNumberFormat="1" applyFont="1" applyFill="1" applyBorder="1" applyAlignment="1">
      <alignment vertical="center"/>
      <protection/>
    </xf>
    <xf numFmtId="49" fontId="92" fillId="0" borderId="55" xfId="125" applyNumberFormat="1" applyFont="1" applyFill="1" applyBorder="1" applyAlignment="1">
      <alignment horizontal="center" vertical="center"/>
      <protection/>
    </xf>
    <xf numFmtId="49" fontId="86" fillId="0" borderId="0" xfId="0" applyNumberFormat="1" applyFont="1" applyFill="1" applyBorder="1" applyAlignment="1">
      <alignment horizontal="center" vertical="distributed"/>
    </xf>
    <xf numFmtId="49" fontId="92" fillId="0" borderId="44" xfId="125" applyNumberFormat="1" applyFont="1" applyFill="1" applyBorder="1" applyAlignment="1">
      <alignment horizontal="center" vertical="distributed" wrapText="1"/>
      <protection/>
    </xf>
    <xf numFmtId="49" fontId="92" fillId="0" borderId="50" xfId="125" applyNumberFormat="1" applyFont="1" applyFill="1" applyBorder="1" applyAlignment="1">
      <alignment horizontal="center" vertical="distributed" wrapText="1"/>
      <protection/>
    </xf>
    <xf numFmtId="49" fontId="95" fillId="0" borderId="52" xfId="0" applyNumberFormat="1" applyFont="1" applyFill="1" applyBorder="1" applyAlignment="1">
      <alignment horizontal="center" vertical="center"/>
    </xf>
    <xf numFmtId="49" fontId="86" fillId="0" borderId="44" xfId="125" applyNumberFormat="1" applyFont="1" applyFill="1" applyBorder="1" applyAlignment="1">
      <alignment horizontal="center" vertical="distributed"/>
      <protection/>
    </xf>
    <xf numFmtId="49" fontId="94" fillId="0" borderId="50" xfId="125" applyNumberFormat="1" applyFont="1" applyFill="1" applyBorder="1" applyAlignment="1">
      <alignment horizontal="center" vertical="distributed"/>
      <protection/>
    </xf>
    <xf numFmtId="49" fontId="94" fillId="0" borderId="50" xfId="125" applyNumberFormat="1" applyFont="1" applyFill="1" applyBorder="1" applyAlignment="1">
      <alignment horizontal="center" vertical="distributed"/>
      <protection/>
    </xf>
    <xf numFmtId="49" fontId="94" fillId="0" borderId="51" xfId="125" applyNumberFormat="1" applyFont="1" applyFill="1" applyBorder="1" applyAlignment="1">
      <alignment horizontal="center" vertical="distributed"/>
      <protection/>
    </xf>
    <xf numFmtId="0" fontId="93" fillId="0" borderId="54" xfId="0" applyFont="1" applyFill="1" applyBorder="1" applyAlignment="1">
      <alignment wrapText="1"/>
    </xf>
    <xf numFmtId="49" fontId="92" fillId="0" borderId="52" xfId="125" applyNumberFormat="1" applyFont="1" applyFill="1" applyBorder="1" applyAlignment="1">
      <alignment horizontal="center" vertical="center"/>
      <protection/>
    </xf>
    <xf numFmtId="4" fontId="94" fillId="0" borderId="57" xfId="0" applyNumberFormat="1" applyFont="1" applyFill="1" applyBorder="1" applyAlignment="1">
      <alignment horizontal="right" vertical="distributed"/>
    </xf>
    <xf numFmtId="4" fontId="94" fillId="0" borderId="60" xfId="0" applyNumberFormat="1" applyFont="1" applyFill="1" applyBorder="1" applyAlignment="1">
      <alignment horizontal="right" vertical="distributed"/>
    </xf>
    <xf numFmtId="4" fontId="94" fillId="0" borderId="59" xfId="0" applyNumberFormat="1" applyFont="1" applyFill="1" applyBorder="1" applyAlignment="1">
      <alignment horizontal="right" vertical="distributed"/>
    </xf>
    <xf numFmtId="0" fontId="93" fillId="0" borderId="54" xfId="0" applyFont="1" applyFill="1" applyBorder="1" applyAlignment="1">
      <alignment horizontal="left" vertical="center" wrapText="1"/>
    </xf>
    <xf numFmtId="49" fontId="92" fillId="0" borderId="54" xfId="125" applyNumberFormat="1" applyFont="1" applyFill="1" applyBorder="1" applyAlignment="1">
      <alignment horizontal="center" vertical="distributed"/>
      <protection/>
    </xf>
    <xf numFmtId="49" fontId="94" fillId="0" borderId="44" xfId="125" applyNumberFormat="1" applyFont="1" applyFill="1" applyBorder="1" applyAlignment="1">
      <alignment horizontal="center" vertical="distributed"/>
      <protection/>
    </xf>
    <xf numFmtId="49" fontId="86" fillId="0" borderId="50" xfId="125" applyNumberFormat="1" applyFont="1" applyFill="1" applyBorder="1" applyAlignment="1">
      <alignment horizontal="center" vertical="distributed"/>
      <protection/>
    </xf>
    <xf numFmtId="4" fontId="86" fillId="0" borderId="54" xfId="125" applyNumberFormat="1" applyFont="1" applyFill="1" applyBorder="1" applyAlignment="1">
      <alignment horizontal="right" vertical="distributed"/>
      <protection/>
    </xf>
    <xf numFmtId="4" fontId="86" fillId="0" borderId="56" xfId="125" applyNumberFormat="1" applyFont="1" applyFill="1" applyBorder="1" applyAlignment="1">
      <alignment horizontal="right" vertical="distributed"/>
      <protection/>
    </xf>
    <xf numFmtId="4" fontId="86" fillId="0" borderId="55" xfId="125" applyNumberFormat="1" applyFont="1" applyFill="1" applyBorder="1" applyAlignment="1">
      <alignment horizontal="right" vertical="distributed"/>
      <protection/>
    </xf>
    <xf numFmtId="0" fontId="93" fillId="0" borderId="44" xfId="125" applyFont="1" applyFill="1" applyBorder="1" applyAlignment="1">
      <alignment horizontal="left" vertical="center" wrapText="1"/>
      <protection/>
    </xf>
    <xf numFmtId="4" fontId="94" fillId="0" borderId="54" xfId="0" applyNumberFormat="1" applyFont="1" applyFill="1" applyBorder="1" applyAlignment="1">
      <alignment horizontal="right" vertical="distributed"/>
    </xf>
    <xf numFmtId="4" fontId="94" fillId="0" borderId="56" xfId="0" applyNumberFormat="1" applyFont="1" applyFill="1" applyBorder="1" applyAlignment="1">
      <alignment horizontal="right" vertical="distributed"/>
    </xf>
    <xf numFmtId="4" fontId="94" fillId="0" borderId="55" xfId="0" applyNumberFormat="1" applyFont="1" applyFill="1" applyBorder="1" applyAlignment="1">
      <alignment horizontal="right" vertical="distributed"/>
    </xf>
    <xf numFmtId="4" fontId="94" fillId="0" borderId="57" xfId="0" applyNumberFormat="1" applyFont="1" applyFill="1" applyBorder="1" applyAlignment="1">
      <alignment horizontal="right" vertical="distributed"/>
    </xf>
    <xf numFmtId="4" fontId="94" fillId="0" borderId="60" xfId="0" applyNumberFormat="1" applyFont="1" applyFill="1" applyBorder="1" applyAlignment="1">
      <alignment horizontal="right" vertical="distributed"/>
    </xf>
    <xf numFmtId="4" fontId="94" fillId="0" borderId="59" xfId="0" applyNumberFormat="1" applyFont="1" applyFill="1" applyBorder="1" applyAlignment="1">
      <alignment horizontal="right" vertical="distributed"/>
    </xf>
    <xf numFmtId="49" fontId="86" fillId="0" borderId="44" xfId="0" applyNumberFormat="1" applyFont="1" applyFill="1" applyBorder="1" applyAlignment="1">
      <alignment horizontal="center" vertical="distributed"/>
    </xf>
    <xf numFmtId="49" fontId="86" fillId="0" borderId="50" xfId="0" applyNumberFormat="1" applyFont="1" applyFill="1" applyBorder="1" applyAlignment="1">
      <alignment horizontal="center" vertical="distributed"/>
    </xf>
    <xf numFmtId="49" fontId="86" fillId="0" borderId="51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4" fontId="86" fillId="53" borderId="55" xfId="125" applyNumberFormat="1" applyFont="1" applyFill="1" applyBorder="1" applyAlignment="1">
      <alignment horizontal="right" vertical="distributed"/>
      <protection/>
    </xf>
    <xf numFmtId="0" fontId="86" fillId="0" borderId="58" xfId="0" applyFont="1" applyFill="1" applyBorder="1" applyAlignment="1">
      <alignment horizontal="center" vertical="center"/>
    </xf>
    <xf numFmtId="4" fontId="92" fillId="0" borderId="44" xfId="125" applyNumberFormat="1" applyFont="1" applyFill="1" applyBorder="1" applyAlignment="1">
      <alignment horizontal="right" vertical="center"/>
      <protection/>
    </xf>
    <xf numFmtId="4" fontId="92" fillId="0" borderId="52" xfId="125" applyNumberFormat="1" applyFont="1" applyFill="1" applyBorder="1" applyAlignment="1">
      <alignment horizontal="right" vertical="center"/>
      <protection/>
    </xf>
    <xf numFmtId="4" fontId="92" fillId="0" borderId="51" xfId="125" applyNumberFormat="1" applyFont="1" applyFill="1" applyBorder="1" applyAlignment="1">
      <alignment horizontal="right" vertical="center"/>
      <protection/>
    </xf>
    <xf numFmtId="4" fontId="86" fillId="0" borderId="54" xfId="125" applyNumberFormat="1" applyFont="1" applyFill="1" applyBorder="1" applyAlignment="1">
      <alignment horizontal="right" vertical="center"/>
      <protection/>
    </xf>
    <xf numFmtId="4" fontId="86" fillId="0" borderId="56" xfId="125" applyNumberFormat="1" applyFont="1" applyFill="1" applyBorder="1" applyAlignment="1">
      <alignment horizontal="right" vertical="center"/>
      <protection/>
    </xf>
    <xf numFmtId="4" fontId="86" fillId="0" borderId="55" xfId="125" applyNumberFormat="1" applyFont="1" applyFill="1" applyBorder="1" applyAlignment="1">
      <alignment horizontal="right" vertical="center"/>
      <protection/>
    </xf>
    <xf numFmtId="4" fontId="86" fillId="0" borderId="57" xfId="125" applyNumberFormat="1" applyFont="1" applyFill="1" applyBorder="1" applyAlignment="1">
      <alignment horizontal="right" vertical="center"/>
      <protection/>
    </xf>
    <xf numFmtId="4" fontId="86" fillId="0" borderId="60" xfId="125" applyNumberFormat="1" applyFont="1" applyFill="1" applyBorder="1" applyAlignment="1">
      <alignment horizontal="right" vertical="center"/>
      <protection/>
    </xf>
    <xf numFmtId="4" fontId="86" fillId="0" borderId="59" xfId="125" applyNumberFormat="1" applyFont="1" applyFill="1" applyBorder="1" applyAlignment="1">
      <alignment horizontal="right" vertical="center"/>
      <protection/>
    </xf>
    <xf numFmtId="0" fontId="92" fillId="0" borderId="60" xfId="0" applyFont="1" applyFill="1" applyBorder="1" applyAlignment="1">
      <alignment horizontal="left" vertical="center" wrapText="1"/>
    </xf>
    <xf numFmtId="4" fontId="92" fillId="0" borderId="60" xfId="125" applyNumberFormat="1" applyFont="1" applyFill="1" applyBorder="1" applyAlignment="1">
      <alignment vertical="center"/>
      <protection/>
    </xf>
    <xf numFmtId="4" fontId="92" fillId="0" borderId="59" xfId="125" applyNumberFormat="1" applyFont="1" applyFill="1" applyBorder="1" applyAlignment="1">
      <alignment vertical="center"/>
      <protection/>
    </xf>
    <xf numFmtId="0" fontId="93" fillId="0" borderId="46" xfId="125" applyFont="1" applyFill="1" applyBorder="1" applyAlignment="1">
      <alignment horizontal="left" vertical="center" wrapText="1"/>
      <protection/>
    </xf>
    <xf numFmtId="4" fontId="92" fillId="0" borderId="46" xfId="125" applyNumberFormat="1" applyFont="1" applyFill="1" applyBorder="1" applyAlignment="1">
      <alignment vertical="center"/>
      <protection/>
    </xf>
    <xf numFmtId="4" fontId="92" fillId="0" borderId="45" xfId="125" applyNumberFormat="1" applyFont="1" applyFill="1" applyBorder="1" applyAlignment="1">
      <alignment vertical="center"/>
      <protection/>
    </xf>
    <xf numFmtId="4" fontId="92" fillId="0" borderId="47" xfId="125" applyNumberFormat="1" applyFont="1" applyFill="1" applyBorder="1" applyAlignment="1">
      <alignment vertical="center"/>
      <protection/>
    </xf>
    <xf numFmtId="49" fontId="86" fillId="0" borderId="0" xfId="125" applyNumberFormat="1" applyFont="1" applyFill="1">
      <alignment/>
      <protection/>
    </xf>
    <xf numFmtId="203" fontId="86" fillId="0" borderId="0" xfId="125" applyNumberFormat="1" applyFont="1" applyFill="1">
      <alignment/>
      <protection/>
    </xf>
    <xf numFmtId="4" fontId="86" fillId="0" borderId="0" xfId="0" applyNumberFormat="1" applyFont="1" applyBorder="1" applyAlignment="1">
      <alignment/>
    </xf>
    <xf numFmtId="49" fontId="86" fillId="0" borderId="0" xfId="125" applyNumberFormat="1" applyFont="1" applyFill="1" applyBorder="1">
      <alignment/>
      <protection/>
    </xf>
    <xf numFmtId="0" fontId="86" fillId="0" borderId="0" xfId="125" applyFont="1" applyFill="1" applyBorder="1">
      <alignment/>
      <protection/>
    </xf>
    <xf numFmtId="0" fontId="86" fillId="53" borderId="0" xfId="0" applyFont="1" applyFill="1" applyBorder="1" applyAlignment="1">
      <alignment/>
    </xf>
    <xf numFmtId="0" fontId="86" fillId="53" borderId="0" xfId="0" applyFont="1" applyFill="1" applyBorder="1" applyAlignment="1">
      <alignment horizontal="center" vertical="distributed"/>
    </xf>
    <xf numFmtId="0" fontId="86" fillId="53" borderId="0" xfId="0" applyFont="1" applyFill="1" applyBorder="1" applyAlignment="1">
      <alignment horizontal="center"/>
    </xf>
    <xf numFmtId="0" fontId="86" fillId="0" borderId="0" xfId="0" applyFont="1" applyAlignment="1">
      <alignment/>
    </xf>
    <xf numFmtId="0" fontId="96" fillId="53" borderId="0" xfId="0" applyFont="1" applyFill="1" applyBorder="1" applyAlignment="1">
      <alignment horizontal="center"/>
    </xf>
    <xf numFmtId="0" fontId="86" fillId="53" borderId="0" xfId="0" applyFont="1" applyFill="1" applyAlignment="1">
      <alignment/>
    </xf>
    <xf numFmtId="0" fontId="86" fillId="53" borderId="0" xfId="0" applyFont="1" applyFill="1" applyAlignment="1">
      <alignment horizontal="center"/>
    </xf>
    <xf numFmtId="0" fontId="97" fillId="34" borderId="0" xfId="0" applyFont="1" applyFill="1" applyAlignment="1">
      <alignment horizontal="center"/>
    </xf>
    <xf numFmtId="0" fontId="86" fillId="34" borderId="27" xfId="0" applyFont="1" applyFill="1" applyBorder="1" applyAlignment="1">
      <alignment horizontal="center"/>
    </xf>
    <xf numFmtId="0" fontId="86" fillId="34" borderId="23" xfId="0" applyFont="1" applyFill="1" applyBorder="1" applyAlignment="1">
      <alignment horizontal="center" vertical="distributed"/>
    </xf>
    <xf numFmtId="0" fontId="86" fillId="34" borderId="61" xfId="0" applyFont="1" applyFill="1" applyBorder="1" applyAlignment="1">
      <alignment horizontal="center" vertical="center"/>
    </xf>
    <xf numFmtId="0" fontId="94" fillId="34" borderId="26" xfId="0" applyFont="1" applyFill="1" applyBorder="1" applyAlignment="1">
      <alignment horizontal="center" vertical="distributed"/>
    </xf>
    <xf numFmtId="0" fontId="94" fillId="34" borderId="27" xfId="0" applyFont="1" applyFill="1" applyBorder="1" applyAlignment="1">
      <alignment horizontal="center" vertical="distributed"/>
    </xf>
    <xf numFmtId="0" fontId="86" fillId="34" borderId="24" xfId="0" applyFont="1" applyFill="1" applyBorder="1" applyAlignment="1">
      <alignment horizontal="center"/>
    </xf>
    <xf numFmtId="0" fontId="92" fillId="34" borderId="0" xfId="0" applyFont="1" applyFill="1" applyAlignment="1">
      <alignment/>
    </xf>
    <xf numFmtId="0" fontId="92" fillId="0" borderId="62" xfId="0" applyFont="1" applyFill="1" applyBorder="1" applyAlignment="1">
      <alignment wrapText="1"/>
    </xf>
    <xf numFmtId="49" fontId="95" fillId="0" borderId="62" xfId="0" applyNumberFormat="1" applyFont="1" applyFill="1" applyBorder="1" applyAlignment="1">
      <alignment horizontal="center" vertical="distributed"/>
    </xf>
    <xf numFmtId="49" fontId="92" fillId="0" borderId="63" xfId="0" applyNumberFormat="1" applyFont="1" applyFill="1" applyBorder="1" applyAlignment="1">
      <alignment horizontal="center" vertical="distributed"/>
    </xf>
    <xf numFmtId="49" fontId="92" fillId="0" borderId="64" xfId="0" applyNumberFormat="1" applyFont="1" applyFill="1" applyBorder="1" applyAlignment="1">
      <alignment horizontal="center" vertical="distributed"/>
    </xf>
    <xf numFmtId="49" fontId="92" fillId="0" borderId="65" xfId="0" applyNumberFormat="1" applyFont="1" applyFill="1" applyBorder="1" applyAlignment="1">
      <alignment horizontal="center" vertical="distributed"/>
    </xf>
    <xf numFmtId="49" fontId="92" fillId="0" borderId="66" xfId="0" applyNumberFormat="1" applyFont="1" applyFill="1" applyBorder="1" applyAlignment="1">
      <alignment horizontal="center" vertical="distributed"/>
    </xf>
    <xf numFmtId="49" fontId="92" fillId="0" borderId="61" xfId="0" applyNumberFormat="1" applyFont="1" applyFill="1" applyBorder="1" applyAlignment="1">
      <alignment horizontal="center" vertical="center"/>
    </xf>
    <xf numFmtId="4" fontId="92" fillId="0" borderId="65" xfId="0" applyNumberFormat="1" applyFont="1" applyFill="1" applyBorder="1" applyAlignment="1">
      <alignment horizontal="right" vertical="distributed"/>
    </xf>
    <xf numFmtId="4" fontId="92" fillId="0" borderId="62" xfId="0" applyNumberFormat="1" applyFont="1" applyFill="1" applyBorder="1" applyAlignment="1">
      <alignment horizontal="right" vertical="distributed"/>
    </xf>
    <xf numFmtId="4" fontId="92" fillId="0" borderId="23" xfId="0" applyNumberFormat="1" applyFont="1" applyFill="1" applyBorder="1" applyAlignment="1">
      <alignment horizontal="right" vertical="distributed"/>
    </xf>
    <xf numFmtId="4" fontId="92" fillId="0" borderId="40" xfId="0" applyNumberFormat="1" applyFont="1" applyFill="1" applyBorder="1" applyAlignment="1">
      <alignment horizontal="right" vertical="distributed"/>
    </xf>
    <xf numFmtId="4" fontId="92" fillId="0" borderId="33" xfId="0" applyNumberFormat="1" applyFont="1" applyFill="1" applyBorder="1" applyAlignment="1">
      <alignment horizontal="right" vertical="distributed"/>
    </xf>
    <xf numFmtId="0" fontId="92" fillId="0" borderId="0" xfId="0" applyFont="1" applyFill="1" applyAlignment="1">
      <alignment/>
    </xf>
    <xf numFmtId="0" fontId="86" fillId="0" borderId="40" xfId="0" applyFont="1" applyFill="1" applyBorder="1" applyAlignment="1">
      <alignment wrapText="1"/>
    </xf>
    <xf numFmtId="49" fontId="94" fillId="0" borderId="40" xfId="0" applyNumberFormat="1" applyFont="1" applyFill="1" applyBorder="1" applyAlignment="1">
      <alignment horizontal="center" vertical="distributed"/>
    </xf>
    <xf numFmtId="49" fontId="94" fillId="0" borderId="56" xfId="0" applyNumberFormat="1" applyFont="1" applyFill="1" applyBorder="1" applyAlignment="1">
      <alignment horizontal="center" vertical="distributed"/>
    </xf>
    <xf numFmtId="49" fontId="92" fillId="0" borderId="55" xfId="0" applyNumberFormat="1" applyFont="1" applyFill="1" applyBorder="1" applyAlignment="1">
      <alignment horizontal="center" vertical="distributed"/>
    </xf>
    <xf numFmtId="49" fontId="92" fillId="0" borderId="67" xfId="0" applyNumberFormat="1" applyFont="1" applyFill="1" applyBorder="1" applyAlignment="1">
      <alignment horizontal="center" vertical="center"/>
    </xf>
    <xf numFmtId="4" fontId="92" fillId="0" borderId="0" xfId="0" applyNumberFormat="1" applyFont="1" applyFill="1" applyBorder="1" applyAlignment="1">
      <alignment horizontal="right" vertical="distributed"/>
    </xf>
    <xf numFmtId="0" fontId="86" fillId="0" borderId="0" xfId="0" applyFont="1" applyFill="1" applyAlignment="1">
      <alignment/>
    </xf>
    <xf numFmtId="4" fontId="86" fillId="0" borderId="40" xfId="0" applyNumberFormat="1" applyFont="1" applyFill="1" applyBorder="1" applyAlignment="1">
      <alignment horizontal="right" vertical="distributed"/>
    </xf>
    <xf numFmtId="4" fontId="86" fillId="0" borderId="33" xfId="0" applyNumberFormat="1" applyFont="1" applyFill="1" applyBorder="1" applyAlignment="1">
      <alignment horizontal="right" vertical="distributed"/>
    </xf>
    <xf numFmtId="0" fontId="86" fillId="0" borderId="40" xfId="125" applyFont="1" applyFill="1" applyBorder="1" applyAlignment="1">
      <alignment horizontal="left" vertical="center" wrapText="1"/>
      <protection/>
    </xf>
    <xf numFmtId="49" fontId="86" fillId="0" borderId="67" xfId="125" applyNumberFormat="1" applyFont="1" applyFill="1" applyBorder="1" applyAlignment="1">
      <alignment horizontal="center" vertical="center"/>
      <protection/>
    </xf>
    <xf numFmtId="49" fontId="94" fillId="0" borderId="67" xfId="125" applyNumberFormat="1" applyFont="1" applyFill="1" applyBorder="1" applyAlignment="1">
      <alignment horizontal="center" vertical="center"/>
      <protection/>
    </xf>
    <xf numFmtId="4" fontId="86" fillId="0" borderId="0" xfId="0" applyNumberFormat="1" applyFont="1" applyFill="1" applyAlignment="1">
      <alignment/>
    </xf>
    <xf numFmtId="49" fontId="94" fillId="0" borderId="67" xfId="0" applyNumberFormat="1" applyFont="1" applyFill="1" applyBorder="1" applyAlignment="1">
      <alignment horizontal="center" vertical="center"/>
    </xf>
    <xf numFmtId="4" fontId="86" fillId="0" borderId="0" xfId="0" applyNumberFormat="1" applyFont="1" applyAlignment="1">
      <alignment/>
    </xf>
    <xf numFmtId="0" fontId="94" fillId="0" borderId="40" xfId="127" applyFont="1" applyFill="1" applyBorder="1" applyAlignment="1">
      <alignment vertical="top" wrapText="1"/>
      <protection/>
    </xf>
    <xf numFmtId="49" fontId="86" fillId="0" borderId="56" xfId="0" applyNumberFormat="1" applyFont="1" applyFill="1" applyBorder="1" applyAlignment="1">
      <alignment horizontal="center" vertical="distributed"/>
    </xf>
    <xf numFmtId="0" fontId="86" fillId="0" borderId="40" xfId="0" applyFont="1" applyFill="1" applyBorder="1" applyAlignment="1">
      <alignment horizontal="justify"/>
    </xf>
    <xf numFmtId="49" fontId="86" fillId="0" borderId="55" xfId="0" applyNumberFormat="1" applyFont="1" applyFill="1" applyBorder="1" applyAlignment="1">
      <alignment horizontal="center" vertical="distributed"/>
    </xf>
    <xf numFmtId="49" fontId="86" fillId="0" borderId="67" xfId="0" applyNumberFormat="1" applyFont="1" applyFill="1" applyBorder="1" applyAlignment="1">
      <alignment horizontal="center" vertical="center"/>
    </xf>
    <xf numFmtId="49" fontId="86" fillId="0" borderId="67" xfId="125" applyNumberFormat="1" applyFont="1" applyFill="1" applyBorder="1" applyAlignment="1">
      <alignment horizontal="center" vertical="center" wrapText="1"/>
      <protection/>
    </xf>
    <xf numFmtId="0" fontId="86" fillId="0" borderId="40" xfId="0" applyFont="1" applyFill="1" applyBorder="1" applyAlignment="1">
      <alignment horizontal="left" vertical="center" wrapText="1"/>
    </xf>
    <xf numFmtId="49" fontId="86" fillId="0" borderId="67" xfId="0" applyNumberFormat="1" applyFont="1" applyFill="1" applyBorder="1" applyAlignment="1">
      <alignment horizontal="center" vertical="center"/>
    </xf>
    <xf numFmtId="49" fontId="94" fillId="0" borderId="55" xfId="125" applyNumberFormat="1" applyFont="1" applyFill="1" applyBorder="1" applyAlignment="1">
      <alignment horizontal="center" vertical="distributed"/>
      <protection/>
    </xf>
    <xf numFmtId="49" fontId="86" fillId="0" borderId="60" xfId="0" applyNumberFormat="1" applyFont="1" applyFill="1" applyBorder="1" applyAlignment="1">
      <alignment horizontal="center" vertical="distributed"/>
    </xf>
    <xf numFmtId="49" fontId="86" fillId="0" borderId="58" xfId="0" applyNumberFormat="1" applyFont="1" applyFill="1" applyBorder="1" applyAlignment="1">
      <alignment horizontal="center" vertical="distributed"/>
    </xf>
    <xf numFmtId="49" fontId="94" fillId="0" borderId="68" xfId="125" applyNumberFormat="1" applyFont="1" applyFill="1" applyBorder="1" applyAlignment="1">
      <alignment horizontal="center" vertical="center"/>
      <protection/>
    </xf>
    <xf numFmtId="4" fontId="86" fillId="0" borderId="69" xfId="125" applyNumberFormat="1" applyFont="1" applyFill="1" applyBorder="1" applyAlignment="1">
      <alignment horizontal="right" vertical="distributed"/>
      <protection/>
    </xf>
    <xf numFmtId="4" fontId="86" fillId="0" borderId="70" xfId="125" applyNumberFormat="1" applyFont="1" applyFill="1" applyBorder="1" applyAlignment="1">
      <alignment horizontal="right" vertical="distributed"/>
      <protection/>
    </xf>
    <xf numFmtId="0" fontId="92" fillId="0" borderId="71" xfId="0" applyFont="1" applyFill="1" applyBorder="1" applyAlignment="1">
      <alignment horizontal="left" wrapText="1"/>
    </xf>
    <xf numFmtId="49" fontId="92" fillId="0" borderId="71" xfId="0" applyNumberFormat="1" applyFont="1" applyFill="1" applyBorder="1" applyAlignment="1">
      <alignment horizontal="center" vertical="distributed"/>
    </xf>
    <xf numFmtId="0" fontId="92" fillId="0" borderId="52" xfId="0" applyFont="1" applyFill="1" applyBorder="1" applyAlignment="1">
      <alignment horizontal="center" vertical="distributed"/>
    </xf>
    <xf numFmtId="0" fontId="92" fillId="0" borderId="51" xfId="0" applyFont="1" applyFill="1" applyBorder="1" applyAlignment="1">
      <alignment horizontal="center" vertical="distributed"/>
    </xf>
    <xf numFmtId="0" fontId="92" fillId="0" borderId="44" xfId="0" applyFont="1" applyFill="1" applyBorder="1" applyAlignment="1">
      <alignment horizontal="center" vertical="distributed"/>
    </xf>
    <xf numFmtId="0" fontId="92" fillId="0" borderId="50" xfId="0" applyFont="1" applyFill="1" applyBorder="1" applyAlignment="1">
      <alignment horizontal="center" vertical="distributed"/>
    </xf>
    <xf numFmtId="0" fontId="92" fillId="0" borderId="67" xfId="0" applyFont="1" applyFill="1" applyBorder="1" applyAlignment="1">
      <alignment horizontal="center" vertical="center"/>
    </xf>
    <xf numFmtId="4" fontId="95" fillId="0" borderId="0" xfId="0" applyNumberFormat="1" applyFont="1" applyFill="1" applyBorder="1" applyAlignment="1">
      <alignment horizontal="right" vertical="distributed"/>
    </xf>
    <xf numFmtId="4" fontId="95" fillId="0" borderId="40" xfId="0" applyNumberFormat="1" applyFont="1" applyFill="1" applyBorder="1" applyAlignment="1">
      <alignment horizontal="right" vertical="distributed"/>
    </xf>
    <xf numFmtId="4" fontId="95" fillId="0" borderId="33" xfId="0" applyNumberFormat="1" applyFont="1" applyFill="1" applyBorder="1" applyAlignment="1">
      <alignment horizontal="right" vertical="distributed"/>
    </xf>
    <xf numFmtId="0" fontId="92" fillId="0" borderId="0" xfId="0" applyFont="1" applyAlignment="1">
      <alignment/>
    </xf>
    <xf numFmtId="0" fontId="86" fillId="0" borderId="40" xfId="0" applyFont="1" applyFill="1" applyBorder="1" applyAlignment="1">
      <alignment/>
    </xf>
    <xf numFmtId="4" fontId="94" fillId="0" borderId="0" xfId="0" applyNumberFormat="1" applyFont="1" applyFill="1" applyBorder="1" applyAlignment="1">
      <alignment horizontal="right" vertical="distributed"/>
    </xf>
    <xf numFmtId="4" fontId="94" fillId="0" borderId="40" xfId="0" applyNumberFormat="1" applyFont="1" applyFill="1" applyBorder="1" applyAlignment="1">
      <alignment horizontal="right" vertical="distributed"/>
    </xf>
    <xf numFmtId="4" fontId="94" fillId="0" borderId="33" xfId="0" applyNumberFormat="1" applyFont="1" applyFill="1" applyBorder="1" applyAlignment="1">
      <alignment horizontal="right" vertical="distributed"/>
    </xf>
    <xf numFmtId="49" fontId="86" fillId="0" borderId="40" xfId="0" applyNumberFormat="1" applyFont="1" applyFill="1" applyBorder="1" applyAlignment="1">
      <alignment horizontal="center" vertical="distributed"/>
    </xf>
    <xf numFmtId="49" fontId="92" fillId="0" borderId="67" xfId="125" applyNumberFormat="1" applyFont="1" applyFill="1" applyBorder="1" applyAlignment="1">
      <alignment horizontal="center" vertical="center"/>
      <protection/>
    </xf>
    <xf numFmtId="0" fontId="86" fillId="0" borderId="69" xfId="125" applyFont="1" applyFill="1" applyBorder="1" applyAlignment="1">
      <alignment horizontal="left" vertical="center" wrapText="1"/>
      <protection/>
    </xf>
    <xf numFmtId="49" fontId="86" fillId="0" borderId="69" xfId="0" applyNumberFormat="1" applyFont="1" applyFill="1" applyBorder="1" applyAlignment="1">
      <alignment horizontal="center" vertical="distributed"/>
    </xf>
    <xf numFmtId="0" fontId="92" fillId="0" borderId="40" xfId="0" applyFont="1" applyFill="1" applyBorder="1" applyAlignment="1">
      <alignment horizontal="left" wrapText="1"/>
    </xf>
    <xf numFmtId="0" fontId="92" fillId="0" borderId="40" xfId="0" applyFont="1" applyFill="1" applyBorder="1" applyAlignment="1">
      <alignment horizontal="center" vertical="distributed"/>
    </xf>
    <xf numFmtId="0" fontId="92" fillId="0" borderId="56" xfId="0" applyFont="1" applyFill="1" applyBorder="1" applyAlignment="1">
      <alignment horizontal="center" vertical="distributed"/>
    </xf>
    <xf numFmtId="0" fontId="92" fillId="0" borderId="54" xfId="0" applyFont="1" applyFill="1" applyBorder="1" applyAlignment="1">
      <alignment horizontal="center" vertical="distributed"/>
    </xf>
    <xf numFmtId="0" fontId="86" fillId="0" borderId="40" xfId="0" applyFont="1" applyFill="1" applyBorder="1" applyAlignment="1">
      <alignment horizontal="center" vertical="distributed"/>
    </xf>
    <xf numFmtId="0" fontId="86" fillId="0" borderId="40" xfId="0" applyFont="1" applyFill="1" applyBorder="1" applyAlignment="1">
      <alignment horizontal="center" vertical="distributed"/>
    </xf>
    <xf numFmtId="49" fontId="86" fillId="0" borderId="56" xfId="0" applyNumberFormat="1" applyFont="1" applyFill="1" applyBorder="1" applyAlignment="1">
      <alignment horizontal="center" vertical="distributed"/>
    </xf>
    <xf numFmtId="49" fontId="86" fillId="0" borderId="54" xfId="0" applyNumberFormat="1" applyFont="1" applyFill="1" applyBorder="1" applyAlignment="1">
      <alignment horizontal="center" vertical="distributed"/>
    </xf>
    <xf numFmtId="49" fontId="86" fillId="0" borderId="54" xfId="125" applyNumberFormat="1" applyFont="1" applyFill="1" applyBorder="1" applyAlignment="1">
      <alignment horizontal="center" vertical="distributed" wrapText="1"/>
      <protection/>
    </xf>
    <xf numFmtId="49" fontId="86" fillId="0" borderId="0" xfId="125" applyNumberFormat="1" applyFont="1" applyFill="1" applyBorder="1" applyAlignment="1">
      <alignment horizontal="center" vertical="distributed" wrapText="1"/>
      <protection/>
    </xf>
    <xf numFmtId="49" fontId="86" fillId="0" borderId="0" xfId="125" applyNumberFormat="1" applyFont="1" applyFill="1" applyBorder="1" applyAlignment="1">
      <alignment horizontal="center" vertical="distributed"/>
      <protection/>
    </xf>
    <xf numFmtId="49" fontId="86" fillId="0" borderId="55" xfId="125" applyNumberFormat="1" applyFont="1" applyFill="1" applyBorder="1" applyAlignment="1">
      <alignment horizontal="center" vertical="distributed"/>
      <protection/>
    </xf>
    <xf numFmtId="49" fontId="86" fillId="0" borderId="67" xfId="125" applyNumberFormat="1" applyFont="1" applyFill="1" applyBorder="1" applyAlignment="1">
      <alignment horizontal="center" vertical="center" wrapText="1"/>
      <protection/>
    </xf>
    <xf numFmtId="4" fontId="86" fillId="0" borderId="0" xfId="125" applyNumberFormat="1" applyFont="1" applyFill="1" applyBorder="1" applyAlignment="1">
      <alignment horizontal="right" vertical="distributed"/>
      <protection/>
    </xf>
    <xf numFmtId="4" fontId="86" fillId="0" borderId="40" xfId="125" applyNumberFormat="1" applyFont="1" applyFill="1" applyBorder="1" applyAlignment="1">
      <alignment horizontal="right" vertical="distributed"/>
      <protection/>
    </xf>
    <xf numFmtId="4" fontId="86" fillId="0" borderId="33" xfId="125" applyNumberFormat="1" applyFont="1" applyFill="1" applyBorder="1" applyAlignment="1">
      <alignment horizontal="right" vertical="distributed"/>
      <protection/>
    </xf>
    <xf numFmtId="49" fontId="86" fillId="0" borderId="54" xfId="125" applyNumberFormat="1" applyFont="1" applyFill="1" applyBorder="1" applyAlignment="1">
      <alignment horizontal="center" vertical="distributed"/>
      <protection/>
    </xf>
    <xf numFmtId="49" fontId="86" fillId="0" borderId="67" xfId="125" applyNumberFormat="1" applyFont="1" applyFill="1" applyBorder="1" applyAlignment="1">
      <alignment horizontal="center" vertical="center"/>
      <protection/>
    </xf>
    <xf numFmtId="0" fontId="86" fillId="0" borderId="67" xfId="0" applyFont="1" applyFill="1" applyBorder="1" applyAlignment="1">
      <alignment/>
    </xf>
    <xf numFmtId="4" fontId="86" fillId="0" borderId="40" xfId="125" applyNumberFormat="1" applyFont="1" applyFill="1" applyBorder="1" applyAlignment="1">
      <alignment vertical="center"/>
      <protection/>
    </xf>
    <xf numFmtId="4" fontId="86" fillId="0" borderId="33" xfId="125" applyNumberFormat="1" applyFont="1" applyFill="1" applyBorder="1" applyAlignment="1">
      <alignment vertical="center"/>
      <protection/>
    </xf>
    <xf numFmtId="0" fontId="86" fillId="0" borderId="40" xfId="125" applyNumberFormat="1" applyFont="1" applyFill="1" applyBorder="1" applyAlignment="1">
      <alignment horizontal="left" vertical="center" wrapText="1"/>
      <protection/>
    </xf>
    <xf numFmtId="0" fontId="86" fillId="0" borderId="40" xfId="125" applyFont="1" applyFill="1" applyBorder="1" applyAlignment="1">
      <alignment horizontal="left" vertical="distributed" wrapText="1"/>
      <protection/>
    </xf>
    <xf numFmtId="4" fontId="86" fillId="53" borderId="0" xfId="125" applyNumberFormat="1" applyFont="1" applyFill="1" applyBorder="1" applyAlignment="1">
      <alignment horizontal="right" vertical="distributed"/>
      <protection/>
    </xf>
    <xf numFmtId="4" fontId="86" fillId="53" borderId="40" xfId="125" applyNumberFormat="1" applyFont="1" applyFill="1" applyBorder="1" applyAlignment="1">
      <alignment horizontal="right" vertical="distributed"/>
      <protection/>
    </xf>
    <xf numFmtId="4" fontId="86" fillId="53" borderId="0" xfId="125" applyNumberFormat="1" applyFont="1" applyFill="1" applyBorder="1" applyAlignment="1">
      <alignment vertical="center"/>
      <protection/>
    </xf>
    <xf numFmtId="4" fontId="86" fillId="53" borderId="40" xfId="125" applyNumberFormat="1" applyFont="1" applyFill="1" applyBorder="1" applyAlignment="1">
      <alignment vertical="center"/>
      <protection/>
    </xf>
    <xf numFmtId="0" fontId="94" fillId="0" borderId="40" xfId="0" applyFont="1" applyFill="1" applyBorder="1" applyAlignment="1" applyProtection="1">
      <alignment horizontal="left" vertical="center" wrapText="1"/>
      <protection locked="0"/>
    </xf>
    <xf numFmtId="49" fontId="86" fillId="53" borderId="0" xfId="125" applyNumberFormat="1" applyFont="1" applyFill="1" applyBorder="1" applyAlignment="1">
      <alignment horizontal="center" vertical="distributed"/>
      <protection/>
    </xf>
    <xf numFmtId="49" fontId="86" fillId="53" borderId="55" xfId="125" applyNumberFormat="1" applyFont="1" applyFill="1" applyBorder="1" applyAlignment="1">
      <alignment horizontal="center" vertical="distributed"/>
      <protection/>
    </xf>
    <xf numFmtId="49" fontId="86" fillId="53" borderId="67" xfId="125" applyNumberFormat="1" applyFont="1" applyFill="1" applyBorder="1" applyAlignment="1">
      <alignment horizontal="center" vertical="center"/>
      <protection/>
    </xf>
    <xf numFmtId="0" fontId="86" fillId="0" borderId="40" xfId="0" applyFont="1" applyFill="1" applyBorder="1" applyAlignment="1">
      <alignment horizontal="left" wrapText="1"/>
    </xf>
    <xf numFmtId="4" fontId="86" fillId="53" borderId="33" xfId="125" applyNumberFormat="1" applyFont="1" applyFill="1" applyBorder="1" applyAlignment="1">
      <alignment horizontal="right" vertical="distributed"/>
      <protection/>
    </xf>
    <xf numFmtId="0" fontId="86" fillId="0" borderId="0" xfId="0" applyFont="1" applyAlignment="1">
      <alignment horizontal="center" wrapText="1"/>
    </xf>
    <xf numFmtId="49" fontId="94" fillId="0" borderId="69" xfId="0" applyNumberFormat="1" applyFont="1" applyFill="1" applyBorder="1" applyAlignment="1">
      <alignment horizontal="center" vertical="distributed"/>
    </xf>
    <xf numFmtId="49" fontId="94" fillId="0" borderId="60" xfId="0" applyNumberFormat="1" applyFont="1" applyFill="1" applyBorder="1" applyAlignment="1">
      <alignment horizontal="center" vertical="distributed"/>
    </xf>
    <xf numFmtId="49" fontId="86" fillId="0" borderId="68" xfId="125" applyNumberFormat="1" applyFont="1" applyFill="1" applyBorder="1" applyAlignment="1">
      <alignment horizontal="center" vertical="center"/>
      <protection/>
    </xf>
    <xf numFmtId="0" fontId="92" fillId="0" borderId="40" xfId="0" applyFont="1" applyFill="1" applyBorder="1" applyAlignment="1">
      <alignment wrapText="1"/>
    </xf>
    <xf numFmtId="49" fontId="95" fillId="0" borderId="56" xfId="0" applyNumberFormat="1" applyFont="1" applyFill="1" applyBorder="1" applyAlignment="1">
      <alignment horizontal="center" vertical="distributed"/>
    </xf>
    <xf numFmtId="49" fontId="95" fillId="0" borderId="54" xfId="0" applyNumberFormat="1" applyFont="1" applyFill="1" applyBorder="1" applyAlignment="1">
      <alignment horizontal="center" vertical="distributed"/>
    </xf>
    <xf numFmtId="49" fontId="95" fillId="0" borderId="0" xfId="0" applyNumberFormat="1" applyFont="1" applyFill="1" applyBorder="1" applyAlignment="1">
      <alignment horizontal="center" vertical="distributed"/>
    </xf>
    <xf numFmtId="49" fontId="95" fillId="0" borderId="55" xfId="0" applyNumberFormat="1" applyFont="1" applyFill="1" applyBorder="1" applyAlignment="1">
      <alignment horizontal="center" vertical="distributed"/>
    </xf>
    <xf numFmtId="49" fontId="95" fillId="0" borderId="67" xfId="0" applyNumberFormat="1" applyFont="1" applyFill="1" applyBorder="1" applyAlignment="1">
      <alignment horizontal="center" vertical="center"/>
    </xf>
    <xf numFmtId="49" fontId="94" fillId="0" borderId="56" xfId="0" applyNumberFormat="1" applyFont="1" applyFill="1" applyBorder="1" applyAlignment="1" applyProtection="1">
      <alignment horizontal="center" vertical="distributed"/>
      <protection hidden="1"/>
    </xf>
    <xf numFmtId="49" fontId="95" fillId="0" borderId="52" xfId="0" applyNumberFormat="1" applyFont="1" applyFill="1" applyBorder="1" applyAlignment="1">
      <alignment horizontal="center" vertical="distributed"/>
    </xf>
    <xf numFmtId="49" fontId="95" fillId="0" borderId="50" xfId="0" applyNumberFormat="1" applyFont="1" applyFill="1" applyBorder="1" applyAlignment="1">
      <alignment horizontal="center" vertical="distributed"/>
    </xf>
    <xf numFmtId="49" fontId="95" fillId="0" borderId="51" xfId="0" applyNumberFormat="1" applyFont="1" applyFill="1" applyBorder="1" applyAlignment="1">
      <alignment horizontal="center" vertical="distributed"/>
    </xf>
    <xf numFmtId="49" fontId="94" fillId="0" borderId="40" xfId="0" applyNumberFormat="1" applyFont="1" applyFill="1" applyBorder="1" applyAlignment="1">
      <alignment horizontal="center"/>
    </xf>
    <xf numFmtId="49" fontId="94" fillId="0" borderId="56" xfId="0" applyNumberFormat="1" applyFont="1" applyFill="1" applyBorder="1" applyAlignment="1" applyProtection="1">
      <alignment horizontal="center"/>
      <protection hidden="1"/>
    </xf>
    <xf numFmtId="49" fontId="94" fillId="0" borderId="56" xfId="0" applyNumberFormat="1" applyFont="1" applyFill="1" applyBorder="1" applyAlignment="1">
      <alignment horizontal="center"/>
    </xf>
    <xf numFmtId="49" fontId="94" fillId="0" borderId="0" xfId="0" applyNumberFormat="1" applyFont="1" applyFill="1" applyBorder="1" applyAlignment="1">
      <alignment horizontal="center"/>
    </xf>
    <xf numFmtId="0" fontId="86" fillId="0" borderId="40" xfId="125" applyFont="1" applyFill="1" applyBorder="1" applyAlignment="1">
      <alignment wrapText="1"/>
      <protection/>
    </xf>
    <xf numFmtId="0" fontId="86" fillId="0" borderId="69" xfId="0" applyFont="1" applyFill="1" applyBorder="1" applyAlignment="1">
      <alignment horizontal="left" vertical="center" wrapText="1"/>
    </xf>
    <xf numFmtId="0" fontId="86" fillId="0" borderId="60" xfId="0" applyFont="1" applyBorder="1" applyAlignment="1">
      <alignment horizontal="center" vertical="distributed"/>
    </xf>
    <xf numFmtId="49" fontId="95" fillId="0" borderId="44" xfId="0" applyNumberFormat="1" applyFont="1" applyFill="1" applyBorder="1" applyAlignment="1">
      <alignment horizontal="center" vertical="distributed"/>
    </xf>
    <xf numFmtId="4" fontId="92" fillId="0" borderId="0" xfId="0" applyNumberFormat="1" applyFont="1" applyAlignment="1">
      <alignment/>
    </xf>
    <xf numFmtId="4" fontId="94" fillId="0" borderId="0" xfId="0" applyNumberFormat="1" applyFont="1" applyFill="1" applyBorder="1" applyAlignment="1">
      <alignment horizontal="right" vertical="distributed"/>
    </xf>
    <xf numFmtId="4" fontId="94" fillId="0" borderId="40" xfId="0" applyNumberFormat="1" applyFont="1" applyFill="1" applyBorder="1" applyAlignment="1">
      <alignment horizontal="right" vertical="distributed"/>
    </xf>
    <xf numFmtId="4" fontId="94" fillId="0" borderId="33" xfId="0" applyNumberFormat="1" applyFont="1" applyFill="1" applyBorder="1" applyAlignment="1">
      <alignment horizontal="right" vertical="distributed"/>
    </xf>
    <xf numFmtId="49" fontId="94" fillId="0" borderId="72" xfId="125" applyNumberFormat="1" applyFont="1" applyFill="1" applyBorder="1" applyAlignment="1">
      <alignment horizontal="center" vertical="center"/>
      <protection/>
    </xf>
    <xf numFmtId="49" fontId="94" fillId="0" borderId="0" xfId="0" applyNumberFormat="1" applyFont="1" applyFill="1" applyBorder="1" applyAlignment="1">
      <alignment vertical="distributed"/>
    </xf>
    <xf numFmtId="0" fontId="86" fillId="0" borderId="69" xfId="0" applyFont="1" applyFill="1" applyBorder="1" applyAlignment="1">
      <alignment horizontal="center" vertical="distributed"/>
    </xf>
    <xf numFmtId="0" fontId="92" fillId="0" borderId="56" xfId="0" applyFont="1" applyBorder="1" applyAlignment="1">
      <alignment/>
    </xf>
    <xf numFmtId="4" fontId="95" fillId="0" borderId="0" xfId="0" applyNumberFormat="1" applyFont="1" applyFill="1" applyBorder="1" applyAlignment="1">
      <alignment horizontal="right" vertical="distributed"/>
    </xf>
    <xf numFmtId="4" fontId="95" fillId="0" borderId="40" xfId="0" applyNumberFormat="1" applyFont="1" applyFill="1" applyBorder="1" applyAlignment="1">
      <alignment horizontal="right" vertical="distributed"/>
    </xf>
    <xf numFmtId="4" fontId="95" fillId="0" borderId="33" xfId="0" applyNumberFormat="1" applyFont="1" applyFill="1" applyBorder="1" applyAlignment="1">
      <alignment horizontal="right" vertical="distributed"/>
    </xf>
    <xf numFmtId="4" fontId="94" fillId="0" borderId="58" xfId="0" applyNumberFormat="1" applyFont="1" applyFill="1" applyBorder="1" applyAlignment="1">
      <alignment horizontal="right" vertical="distributed"/>
    </xf>
    <xf numFmtId="4" fontId="94" fillId="0" borderId="69" xfId="0" applyNumberFormat="1" applyFont="1" applyFill="1" applyBorder="1" applyAlignment="1">
      <alignment horizontal="right" vertical="distributed"/>
    </xf>
    <xf numFmtId="4" fontId="94" fillId="0" borderId="70" xfId="0" applyNumberFormat="1" applyFont="1" applyFill="1" applyBorder="1" applyAlignment="1">
      <alignment horizontal="right" vertical="distributed"/>
    </xf>
    <xf numFmtId="0" fontId="86" fillId="53" borderId="40" xfId="125" applyFont="1" applyFill="1" applyBorder="1" applyAlignment="1">
      <alignment horizontal="left" vertical="center" wrapText="1"/>
      <protection/>
    </xf>
    <xf numFmtId="49" fontId="86" fillId="53" borderId="40" xfId="0" applyNumberFormat="1" applyFont="1" applyFill="1" applyBorder="1" applyAlignment="1">
      <alignment horizontal="center" vertical="distributed"/>
    </xf>
    <xf numFmtId="49" fontId="86" fillId="53" borderId="0" xfId="0" applyNumberFormat="1" applyFont="1" applyFill="1" applyBorder="1" applyAlignment="1">
      <alignment horizontal="center" vertical="distributed"/>
    </xf>
    <xf numFmtId="0" fontId="92" fillId="0" borderId="0" xfId="0" applyFont="1" applyBorder="1" applyAlignment="1">
      <alignment/>
    </xf>
    <xf numFmtId="0" fontId="92" fillId="53" borderId="40" xfId="125" applyFont="1" applyFill="1" applyBorder="1" applyAlignment="1">
      <alignment horizontal="left" vertical="center" wrapText="1"/>
      <protection/>
    </xf>
    <xf numFmtId="4" fontId="92" fillId="53" borderId="40" xfId="125" applyNumberFormat="1" applyFont="1" applyFill="1" applyBorder="1" applyAlignment="1">
      <alignment horizontal="right" vertical="distributed"/>
      <protection/>
    </xf>
    <xf numFmtId="4" fontId="92" fillId="53" borderId="33" xfId="125" applyNumberFormat="1" applyFont="1" applyFill="1" applyBorder="1" applyAlignment="1">
      <alignment horizontal="right" vertical="distributed"/>
      <protection/>
    </xf>
    <xf numFmtId="0" fontId="92" fillId="0" borderId="27" xfId="0" applyFont="1" applyFill="1" applyBorder="1" applyAlignment="1">
      <alignment/>
    </xf>
    <xf numFmtId="49" fontId="94" fillId="0" borderId="73" xfId="0" applyNumberFormat="1" applyFont="1" applyFill="1" applyBorder="1" applyAlignment="1">
      <alignment horizontal="center" vertical="distributed"/>
    </xf>
    <xf numFmtId="49" fontId="94" fillId="0" borderId="74" xfId="0" applyNumberFormat="1" applyFont="1" applyFill="1" applyBorder="1" applyAlignment="1">
      <alignment horizontal="center" vertical="distributed"/>
    </xf>
    <xf numFmtId="49" fontId="94" fillId="0" borderId="24" xfId="0" applyNumberFormat="1" applyFont="1" applyFill="1" applyBorder="1" applyAlignment="1">
      <alignment horizontal="center" vertical="distributed"/>
    </xf>
    <xf numFmtId="0" fontId="86" fillId="0" borderId="75" xfId="0" applyFont="1" applyFill="1" applyBorder="1" applyAlignment="1">
      <alignment horizontal="center" vertical="center"/>
    </xf>
    <xf numFmtId="4" fontId="98" fillId="0" borderId="26" xfId="0" applyNumberFormat="1" applyFont="1" applyFill="1" applyBorder="1" applyAlignment="1">
      <alignment horizontal="right" vertical="distributed"/>
    </xf>
    <xf numFmtId="4" fontId="98" fillId="0" borderId="27" xfId="0" applyNumberFormat="1" applyFont="1" applyFill="1" applyBorder="1" applyAlignment="1">
      <alignment horizontal="right" vertical="distributed"/>
    </xf>
    <xf numFmtId="4" fontId="98" fillId="0" borderId="24" xfId="0" applyNumberFormat="1" applyFont="1" applyFill="1" applyBorder="1" applyAlignment="1">
      <alignment horizontal="right" vertical="distributed"/>
    </xf>
    <xf numFmtId="0" fontId="99" fillId="0" borderId="0" xfId="0" applyFont="1" applyFill="1" applyBorder="1" applyAlignment="1">
      <alignment/>
    </xf>
    <xf numFmtId="49" fontId="100" fillId="0" borderId="0" xfId="0" applyNumberFormat="1" applyFont="1" applyFill="1" applyBorder="1" applyAlignment="1">
      <alignment horizontal="center" vertical="distributed"/>
    </xf>
    <xf numFmtId="0" fontId="93" fillId="0" borderId="0" xfId="0" applyFont="1" applyFill="1" applyBorder="1" applyAlignment="1">
      <alignment horizontal="center" vertical="distributed"/>
    </xf>
    <xf numFmtId="0" fontId="86" fillId="0" borderId="0" xfId="0" applyFont="1" applyBorder="1" applyAlignment="1">
      <alignment/>
    </xf>
    <xf numFmtId="0" fontId="101" fillId="0" borderId="0" xfId="0" applyFont="1" applyFill="1" applyBorder="1" applyAlignment="1">
      <alignment horizontal="center" vertical="distributed"/>
    </xf>
    <xf numFmtId="2" fontId="93" fillId="0" borderId="0" xfId="0" applyNumberFormat="1" applyFont="1" applyFill="1" applyBorder="1" applyAlignment="1">
      <alignment horizontal="center" vertical="distributed"/>
    </xf>
    <xf numFmtId="0" fontId="86" fillId="0" borderId="0" xfId="0" applyFont="1" applyFill="1" applyBorder="1" applyAlignment="1">
      <alignment horizontal="center" vertical="distributed"/>
    </xf>
    <xf numFmtId="0" fontId="93" fillId="0" borderId="0" xfId="0" applyFont="1" applyFill="1" applyBorder="1" applyAlignment="1">
      <alignment horizontal="center" vertical="center"/>
    </xf>
    <xf numFmtId="2" fontId="86" fillId="0" borderId="0" xfId="0" applyNumberFormat="1" applyFont="1" applyBorder="1" applyAlignment="1">
      <alignment/>
    </xf>
    <xf numFmtId="182" fontId="86" fillId="0" borderId="0" xfId="0" applyNumberFormat="1" applyFont="1" applyBorder="1" applyAlignment="1">
      <alignment/>
    </xf>
    <xf numFmtId="0" fontId="86" fillId="0" borderId="0" xfId="0" applyFont="1" applyFill="1" applyBorder="1" applyAlignment="1">
      <alignment/>
    </xf>
    <xf numFmtId="0" fontId="86" fillId="34" borderId="0" xfId="0" applyFont="1" applyFill="1" applyBorder="1" applyAlignment="1">
      <alignment/>
    </xf>
    <xf numFmtId="0" fontId="86" fillId="34" borderId="0" xfId="0" applyFont="1" applyFill="1" applyBorder="1" applyAlignment="1">
      <alignment horizontal="center" vertical="center"/>
    </xf>
    <xf numFmtId="0" fontId="102" fillId="0" borderId="0" xfId="0" applyFont="1" applyBorder="1" applyAlignment="1">
      <alignment wrapText="1"/>
    </xf>
    <xf numFmtId="0" fontId="86" fillId="34" borderId="0" xfId="0" applyFont="1" applyFill="1" applyAlignment="1">
      <alignment/>
    </xf>
    <xf numFmtId="0" fontId="86" fillId="0" borderId="0" xfId="0" applyFont="1" applyFill="1" applyAlignment="1">
      <alignment horizontal="center" vertical="distributed"/>
    </xf>
    <xf numFmtId="0" fontId="86" fillId="0" borderId="0" xfId="0" applyFont="1" applyFill="1" applyAlignment="1">
      <alignment horizontal="center" vertical="center"/>
    </xf>
    <xf numFmtId="0" fontId="86" fillId="0" borderId="0" xfId="0" applyFont="1" applyBorder="1" applyAlignment="1">
      <alignment horizontal="center" vertical="distributed"/>
    </xf>
    <xf numFmtId="0" fontId="86" fillId="0" borderId="0" xfId="0" applyFont="1" applyAlignment="1">
      <alignment horizontal="center" vertical="distributed"/>
    </xf>
    <xf numFmtId="0" fontId="86" fillId="0" borderId="0" xfId="0" applyFont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32" fillId="53" borderId="0" xfId="0" applyFont="1" applyFill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86" fillId="53" borderId="0" xfId="0" applyFont="1" applyFill="1" applyBorder="1" applyAlignment="1">
      <alignment horizontal="right"/>
    </xf>
    <xf numFmtId="0" fontId="103" fillId="34" borderId="78" xfId="0" applyFont="1" applyFill="1" applyBorder="1" applyAlignment="1">
      <alignment horizontal="center" vertical="center"/>
    </xf>
    <xf numFmtId="0" fontId="103" fillId="34" borderId="79" xfId="0" applyFont="1" applyFill="1" applyBorder="1" applyAlignment="1">
      <alignment horizontal="center" vertical="center"/>
    </xf>
    <xf numFmtId="0" fontId="103" fillId="34" borderId="80" xfId="0" applyFont="1" applyFill="1" applyBorder="1" applyAlignment="1">
      <alignment horizontal="center" vertical="center"/>
    </xf>
    <xf numFmtId="0" fontId="103" fillId="34" borderId="23" xfId="0" applyFont="1" applyFill="1" applyBorder="1" applyAlignment="1">
      <alignment horizontal="center" vertical="center" wrapText="1"/>
    </xf>
    <xf numFmtId="0" fontId="103" fillId="34" borderId="33" xfId="0" applyFont="1" applyFill="1" applyBorder="1" applyAlignment="1">
      <alignment horizontal="center" vertical="center" wrapText="1"/>
    </xf>
    <xf numFmtId="0" fontId="103" fillId="34" borderId="34" xfId="0" applyFont="1" applyFill="1" applyBorder="1" applyAlignment="1">
      <alignment horizontal="center" vertical="center" wrapText="1"/>
    </xf>
    <xf numFmtId="0" fontId="104" fillId="53" borderId="0" xfId="0" applyFont="1" applyFill="1" applyBorder="1" applyAlignment="1">
      <alignment horizontal="center" wrapText="1"/>
    </xf>
    <xf numFmtId="0" fontId="94" fillId="0" borderId="81" xfId="0" applyFont="1" applyFill="1" applyBorder="1" applyAlignment="1">
      <alignment horizontal="center" vertical="center" wrapText="1"/>
    </xf>
    <xf numFmtId="0" fontId="94" fillId="0" borderId="48" xfId="0" applyFont="1" applyFill="1" applyBorder="1" applyAlignment="1">
      <alignment horizontal="center" vertical="center" wrapText="1"/>
    </xf>
    <xf numFmtId="0" fontId="94" fillId="0" borderId="82" xfId="0" applyFont="1" applyFill="1" applyBorder="1" applyAlignment="1">
      <alignment horizontal="center" vertical="center" wrapText="1"/>
    </xf>
    <xf numFmtId="0" fontId="103" fillId="34" borderId="62" xfId="0" applyFont="1" applyFill="1" applyBorder="1" applyAlignment="1">
      <alignment horizontal="center" vertical="center" wrapText="1"/>
    </xf>
    <xf numFmtId="0" fontId="103" fillId="34" borderId="65" xfId="0" applyFont="1" applyFill="1" applyBorder="1" applyAlignment="1">
      <alignment horizontal="center" vertical="center" wrapText="1"/>
    </xf>
    <xf numFmtId="0" fontId="103" fillId="34" borderId="61" xfId="0" applyFont="1" applyFill="1" applyBorder="1" applyAlignment="1">
      <alignment horizontal="center" vertical="center" wrapText="1"/>
    </xf>
    <xf numFmtId="0" fontId="103" fillId="34" borderId="40" xfId="0" applyFont="1" applyFill="1" applyBorder="1" applyAlignment="1">
      <alignment horizontal="center" vertical="center" wrapText="1"/>
    </xf>
    <xf numFmtId="0" fontId="103" fillId="34" borderId="0" xfId="0" applyFont="1" applyFill="1" applyBorder="1" applyAlignment="1">
      <alignment horizontal="center" vertical="center" wrapText="1"/>
    </xf>
    <xf numFmtId="0" fontId="103" fillId="34" borderId="67" xfId="0" applyFont="1" applyFill="1" applyBorder="1" applyAlignment="1">
      <alignment horizontal="center" vertical="center" wrapText="1"/>
    </xf>
    <xf numFmtId="0" fontId="103" fillId="34" borderId="77" xfId="0" applyFont="1" applyFill="1" applyBorder="1" applyAlignment="1">
      <alignment horizontal="center" vertical="center" wrapText="1"/>
    </xf>
    <xf numFmtId="0" fontId="103" fillId="34" borderId="43" xfId="0" applyFont="1" applyFill="1" applyBorder="1" applyAlignment="1">
      <alignment horizontal="center" vertical="center" wrapText="1"/>
    </xf>
    <xf numFmtId="0" fontId="103" fillId="34" borderId="83" xfId="0" applyFont="1" applyFill="1" applyBorder="1" applyAlignment="1">
      <alignment horizontal="center" vertical="center" wrapText="1"/>
    </xf>
    <xf numFmtId="0" fontId="94" fillId="0" borderId="23" xfId="0" applyFont="1" applyFill="1" applyBorder="1" applyAlignment="1">
      <alignment horizontal="center" vertical="center" wrapText="1"/>
    </xf>
    <xf numFmtId="0" fontId="94" fillId="0" borderId="33" xfId="0" applyFont="1" applyFill="1" applyBorder="1" applyAlignment="1">
      <alignment horizontal="center" vertical="center" wrapText="1"/>
    </xf>
    <xf numFmtId="0" fontId="94" fillId="0" borderId="34" xfId="0" applyFont="1" applyFill="1" applyBorder="1" applyAlignment="1">
      <alignment horizontal="center" vertical="center" wrapText="1"/>
    </xf>
    <xf numFmtId="0" fontId="103" fillId="34" borderId="84" xfId="0" applyFont="1" applyFill="1" applyBorder="1" applyAlignment="1">
      <alignment horizontal="center" vertical="center"/>
    </xf>
    <xf numFmtId="0" fontId="103" fillId="34" borderId="85" xfId="0" applyFont="1" applyFill="1" applyBorder="1" applyAlignment="1">
      <alignment horizontal="center" vertical="center"/>
    </xf>
    <xf numFmtId="0" fontId="103" fillId="34" borderId="86" xfId="0" applyFont="1" applyFill="1" applyBorder="1" applyAlignment="1">
      <alignment horizontal="center" vertical="center"/>
    </xf>
    <xf numFmtId="49" fontId="94" fillId="0" borderId="26" xfId="0" applyNumberFormat="1" applyFont="1" applyFill="1" applyBorder="1" applyAlignment="1">
      <alignment horizontal="center" vertical="distributed"/>
    </xf>
    <xf numFmtId="0" fontId="94" fillId="0" borderId="26" xfId="0" applyFont="1" applyFill="1" applyBorder="1" applyAlignment="1">
      <alignment horizontal="center" vertical="center" wrapText="1"/>
    </xf>
    <xf numFmtId="0" fontId="94" fillId="0" borderId="76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center"/>
    </xf>
    <xf numFmtId="0" fontId="96" fillId="0" borderId="0" xfId="0" applyFont="1" applyFill="1" applyBorder="1" applyAlignment="1">
      <alignment horizontal="center" vertical="distributed"/>
    </xf>
    <xf numFmtId="0" fontId="86" fillId="34" borderId="62" xfId="0" applyFont="1" applyFill="1" applyBorder="1" applyAlignment="1">
      <alignment horizontal="center" vertical="distributed"/>
    </xf>
    <xf numFmtId="0" fontId="86" fillId="34" borderId="65" xfId="0" applyFont="1" applyFill="1" applyBorder="1" applyAlignment="1">
      <alignment horizontal="center" vertical="distributed"/>
    </xf>
    <xf numFmtId="0" fontId="86" fillId="34" borderId="61" xfId="0" applyFont="1" applyFill="1" applyBorder="1" applyAlignment="1">
      <alignment horizontal="center" vertical="distributed"/>
    </xf>
    <xf numFmtId="0" fontId="96" fillId="0" borderId="0" xfId="0" applyFont="1" applyFill="1" applyBorder="1" applyAlignment="1">
      <alignment horizontal="left" vertical="distributed"/>
    </xf>
    <xf numFmtId="0" fontId="96" fillId="0" borderId="0" xfId="0" applyFont="1" applyFill="1" applyBorder="1" applyAlignment="1">
      <alignment horizontal="left" vertical="center"/>
    </xf>
    <xf numFmtId="0" fontId="104" fillId="53" borderId="0" xfId="125" applyFont="1" applyFill="1" applyAlignment="1">
      <alignment horizontal="center" vertical="center" wrapText="1"/>
      <protection/>
    </xf>
    <xf numFmtId="49" fontId="96" fillId="0" borderId="45" xfId="125" applyNumberFormat="1" applyFont="1" applyFill="1" applyBorder="1" applyAlignment="1">
      <alignment horizontal="center" vertical="center"/>
      <protection/>
    </xf>
    <xf numFmtId="49" fontId="96" fillId="0" borderId="48" xfId="125" applyNumberFormat="1" applyFont="1" applyFill="1" applyBorder="1" applyAlignment="1">
      <alignment horizontal="center" vertical="center"/>
      <protection/>
    </xf>
    <xf numFmtId="49" fontId="87" fillId="0" borderId="46" xfId="125" applyNumberFormat="1" applyFont="1" applyFill="1" applyBorder="1" applyAlignment="1">
      <alignment horizontal="center" vertical="center" wrapText="1"/>
      <protection/>
    </xf>
    <xf numFmtId="0" fontId="86" fillId="0" borderId="46" xfId="125" applyFont="1" applyFill="1" applyBorder="1" applyAlignment="1">
      <alignment horizontal="center" vertical="center" wrapText="1"/>
      <protection/>
    </xf>
    <xf numFmtId="49" fontId="86" fillId="0" borderId="44" xfId="125" applyNumberFormat="1" applyFont="1" applyFill="1" applyBorder="1" applyAlignment="1">
      <alignment horizontal="center" vertical="center" wrapText="1"/>
      <protection/>
    </xf>
    <xf numFmtId="49" fontId="86" fillId="0" borderId="50" xfId="125" applyNumberFormat="1" applyFont="1" applyFill="1" applyBorder="1" applyAlignment="1">
      <alignment horizontal="center" vertical="center" wrapText="1"/>
      <protection/>
    </xf>
    <xf numFmtId="49" fontId="86" fillId="0" borderId="51" xfId="125" applyNumberFormat="1" applyFont="1" applyFill="1" applyBorder="1" applyAlignment="1">
      <alignment horizontal="center" vertical="center" wrapText="1"/>
      <protection/>
    </xf>
    <xf numFmtId="49" fontId="86" fillId="0" borderId="57" xfId="125" applyNumberFormat="1" applyFont="1" applyFill="1" applyBorder="1" applyAlignment="1">
      <alignment horizontal="center" vertical="center" wrapText="1"/>
      <protection/>
    </xf>
    <xf numFmtId="49" fontId="86" fillId="0" borderId="58" xfId="125" applyNumberFormat="1" applyFont="1" applyFill="1" applyBorder="1" applyAlignment="1">
      <alignment horizontal="center" vertical="center" wrapText="1"/>
      <protection/>
    </xf>
    <xf numFmtId="49" fontId="86" fillId="0" borderId="59" xfId="125" applyNumberFormat="1" applyFont="1" applyFill="1" applyBorder="1" applyAlignment="1">
      <alignment horizontal="center" vertical="center" wrapText="1"/>
      <protection/>
    </xf>
    <xf numFmtId="0" fontId="86" fillId="0" borderId="52" xfId="125" applyFont="1" applyFill="1" applyBorder="1" applyAlignment="1">
      <alignment horizontal="center" vertical="center" wrapText="1"/>
      <protection/>
    </xf>
    <xf numFmtId="0" fontId="86" fillId="0" borderId="60" xfId="125" applyFont="1" applyFill="1" applyBorder="1" applyAlignment="1">
      <alignment horizontal="center" vertical="center" wrapText="1"/>
      <protection/>
    </xf>
    <xf numFmtId="0" fontId="31" fillId="53" borderId="0" xfId="0" applyFont="1" applyFill="1" applyBorder="1" applyAlignment="1">
      <alignment horizontal="center" wrapText="1"/>
    </xf>
    <xf numFmtId="0" fontId="31" fillId="53" borderId="0" xfId="0" applyFont="1" applyFill="1" applyBorder="1" applyAlignment="1">
      <alignment horizontal="center" wrapText="1"/>
    </xf>
    <xf numFmtId="0" fontId="31" fillId="53" borderId="0" xfId="0" applyFont="1" applyFill="1" applyBorder="1" applyAlignment="1">
      <alignment horizontal="left" wrapText="1"/>
    </xf>
    <xf numFmtId="0" fontId="31" fillId="53" borderId="0" xfId="0" applyFont="1" applyFill="1" applyAlignment="1">
      <alignment/>
    </xf>
    <xf numFmtId="0" fontId="31" fillId="53" borderId="0" xfId="0" applyFont="1" applyFill="1" applyAlignment="1">
      <alignment horizontal="center"/>
    </xf>
    <xf numFmtId="0" fontId="105" fillId="53" borderId="0" xfId="0" applyFont="1" applyFill="1" applyBorder="1" applyAlignment="1">
      <alignment horizontal="center" wrapText="1"/>
    </xf>
    <xf numFmtId="0" fontId="105" fillId="53" borderId="0" xfId="0" applyFont="1" applyFill="1" applyBorder="1" applyAlignment="1">
      <alignment/>
    </xf>
    <xf numFmtId="0" fontId="105" fillId="53" borderId="0" xfId="0" applyFont="1" applyFill="1" applyAlignment="1">
      <alignment horizontal="center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Обычный 2" xfId="125"/>
    <cellStyle name="Обычный 3" xfId="126"/>
    <cellStyle name="Обычный_Ведомственная структура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40</xdr:row>
      <xdr:rowOff>114300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40</xdr:row>
      <xdr:rowOff>114300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40</xdr:row>
      <xdr:rowOff>114300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40</xdr:row>
      <xdr:rowOff>114300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40</xdr:row>
      <xdr:rowOff>114300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40</xdr:row>
      <xdr:rowOff>114300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26" name="TextBox 26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27" name="TextBox 27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28" name="TextBox 28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29" name="TextBox 29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30" name="TextBox 30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114300</xdr:rowOff>
    </xdr:from>
    <xdr:ext cx="180975" cy="266700"/>
    <xdr:sp fLocksText="0">
      <xdr:nvSpPr>
        <xdr:cNvPr id="31" name="TextBox 31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114300</xdr:rowOff>
    </xdr:from>
    <xdr:ext cx="180975" cy="266700"/>
    <xdr:sp fLocksText="0">
      <xdr:nvSpPr>
        <xdr:cNvPr id="32" name="TextBox 32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114300</xdr:rowOff>
    </xdr:from>
    <xdr:ext cx="180975" cy="266700"/>
    <xdr:sp fLocksText="0">
      <xdr:nvSpPr>
        <xdr:cNvPr id="33" name="TextBox 33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114300</xdr:rowOff>
    </xdr:from>
    <xdr:ext cx="180975" cy="266700"/>
    <xdr:sp fLocksText="0">
      <xdr:nvSpPr>
        <xdr:cNvPr id="34" name="TextBox 34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114300</xdr:rowOff>
    </xdr:from>
    <xdr:ext cx="180975" cy="266700"/>
    <xdr:sp fLocksText="0">
      <xdr:nvSpPr>
        <xdr:cNvPr id="35" name="TextBox 35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114300</xdr:rowOff>
    </xdr:from>
    <xdr:ext cx="180975" cy="266700"/>
    <xdr:sp fLocksText="0">
      <xdr:nvSpPr>
        <xdr:cNvPr id="36" name="TextBox 36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114300</xdr:rowOff>
    </xdr:from>
    <xdr:ext cx="180975" cy="266700"/>
    <xdr:sp fLocksText="0">
      <xdr:nvSpPr>
        <xdr:cNvPr id="37" name="TextBox 37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114300</xdr:rowOff>
    </xdr:from>
    <xdr:ext cx="180975" cy="266700"/>
    <xdr:sp fLocksText="0">
      <xdr:nvSpPr>
        <xdr:cNvPr id="38" name="TextBox 38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114300</xdr:rowOff>
    </xdr:from>
    <xdr:ext cx="180975" cy="266700"/>
    <xdr:sp fLocksText="0">
      <xdr:nvSpPr>
        <xdr:cNvPr id="39" name="TextBox 39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114300</xdr:rowOff>
    </xdr:from>
    <xdr:ext cx="180975" cy="266700"/>
    <xdr:sp fLocksText="0">
      <xdr:nvSpPr>
        <xdr:cNvPr id="40" name="TextBox 40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114300</xdr:rowOff>
    </xdr:from>
    <xdr:ext cx="180975" cy="266700"/>
    <xdr:sp fLocksText="0">
      <xdr:nvSpPr>
        <xdr:cNvPr id="41" name="TextBox 41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114300</xdr:rowOff>
    </xdr:from>
    <xdr:ext cx="180975" cy="266700"/>
    <xdr:sp fLocksText="0">
      <xdr:nvSpPr>
        <xdr:cNvPr id="42" name="TextBox 42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114300</xdr:rowOff>
    </xdr:from>
    <xdr:ext cx="180975" cy="266700"/>
    <xdr:sp fLocksText="0">
      <xdr:nvSpPr>
        <xdr:cNvPr id="43" name="TextBox 43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114300</xdr:rowOff>
    </xdr:from>
    <xdr:ext cx="180975" cy="266700"/>
    <xdr:sp fLocksText="0">
      <xdr:nvSpPr>
        <xdr:cNvPr id="44" name="TextBox 44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114300</xdr:rowOff>
    </xdr:from>
    <xdr:ext cx="180975" cy="266700"/>
    <xdr:sp fLocksText="0">
      <xdr:nvSpPr>
        <xdr:cNvPr id="45" name="TextBox 45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114300</xdr:rowOff>
    </xdr:from>
    <xdr:ext cx="180975" cy="266700"/>
    <xdr:sp fLocksText="0">
      <xdr:nvSpPr>
        <xdr:cNvPr id="46" name="TextBox 46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114300</xdr:rowOff>
    </xdr:from>
    <xdr:ext cx="180975" cy="266700"/>
    <xdr:sp fLocksText="0">
      <xdr:nvSpPr>
        <xdr:cNvPr id="47" name="TextBox 47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114300</xdr:rowOff>
    </xdr:from>
    <xdr:ext cx="180975" cy="266700"/>
    <xdr:sp fLocksText="0">
      <xdr:nvSpPr>
        <xdr:cNvPr id="48" name="TextBox 48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49" name="TextBox 49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50" name="TextBox 50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51" name="TextBox 51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52" name="TextBox 52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53" name="TextBox 53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54" name="TextBox 54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114300</xdr:rowOff>
    </xdr:from>
    <xdr:ext cx="180975" cy="266700"/>
    <xdr:sp fLocksText="0">
      <xdr:nvSpPr>
        <xdr:cNvPr id="55" name="TextBox 55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114300</xdr:rowOff>
    </xdr:from>
    <xdr:ext cx="180975" cy="266700"/>
    <xdr:sp fLocksText="0">
      <xdr:nvSpPr>
        <xdr:cNvPr id="56" name="TextBox 56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114300</xdr:rowOff>
    </xdr:from>
    <xdr:ext cx="180975" cy="266700"/>
    <xdr:sp fLocksText="0">
      <xdr:nvSpPr>
        <xdr:cNvPr id="57" name="TextBox 57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114300</xdr:rowOff>
    </xdr:from>
    <xdr:ext cx="180975" cy="266700"/>
    <xdr:sp fLocksText="0">
      <xdr:nvSpPr>
        <xdr:cNvPr id="58" name="TextBox 58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114300</xdr:rowOff>
    </xdr:from>
    <xdr:ext cx="180975" cy="266700"/>
    <xdr:sp fLocksText="0">
      <xdr:nvSpPr>
        <xdr:cNvPr id="59" name="TextBox 59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114300</xdr:rowOff>
    </xdr:from>
    <xdr:ext cx="180975" cy="266700"/>
    <xdr:sp fLocksText="0">
      <xdr:nvSpPr>
        <xdr:cNvPr id="60" name="TextBox 60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114300</xdr:rowOff>
    </xdr:from>
    <xdr:ext cx="180975" cy="266700"/>
    <xdr:sp fLocksText="0">
      <xdr:nvSpPr>
        <xdr:cNvPr id="61" name="TextBox 61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114300</xdr:rowOff>
    </xdr:from>
    <xdr:ext cx="180975" cy="266700"/>
    <xdr:sp fLocksText="0">
      <xdr:nvSpPr>
        <xdr:cNvPr id="62" name="TextBox 62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114300</xdr:rowOff>
    </xdr:from>
    <xdr:ext cx="180975" cy="266700"/>
    <xdr:sp fLocksText="0">
      <xdr:nvSpPr>
        <xdr:cNvPr id="63" name="TextBox 63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114300</xdr:rowOff>
    </xdr:from>
    <xdr:ext cx="180975" cy="266700"/>
    <xdr:sp fLocksText="0">
      <xdr:nvSpPr>
        <xdr:cNvPr id="64" name="TextBox 64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114300</xdr:rowOff>
    </xdr:from>
    <xdr:ext cx="180975" cy="266700"/>
    <xdr:sp fLocksText="0">
      <xdr:nvSpPr>
        <xdr:cNvPr id="65" name="TextBox 65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114300</xdr:rowOff>
    </xdr:from>
    <xdr:ext cx="180975" cy="266700"/>
    <xdr:sp fLocksText="0">
      <xdr:nvSpPr>
        <xdr:cNvPr id="66" name="TextBox 66"/>
        <xdr:cNvSpPr txBox="1">
          <a:spLocks noChangeArrowheads="1"/>
        </xdr:cNvSpPr>
      </xdr:nvSpPr>
      <xdr:spPr>
        <a:xfrm>
          <a:off x="64198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67" name="TextBox 67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68" name="TextBox 68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69" name="TextBox 69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70" name="TextBox 70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71" name="TextBox 71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72" name="TextBox 72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73" name="TextBox 73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74" name="TextBox 74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75" name="TextBox 75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76" name="TextBox 76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77" name="TextBox 77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78" name="TextBox 78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79" name="TextBox 79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80" name="TextBox 80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81" name="TextBox 81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82" name="TextBox 82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83" name="TextBox 83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84" name="TextBox 84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85" name="TextBox 85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86" name="TextBox 86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87" name="TextBox 87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88" name="TextBox 88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89" name="TextBox 89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114300</xdr:rowOff>
    </xdr:from>
    <xdr:ext cx="180975" cy="266700"/>
    <xdr:sp fLocksText="0">
      <xdr:nvSpPr>
        <xdr:cNvPr id="90" name="TextBox 90"/>
        <xdr:cNvSpPr txBox="1">
          <a:spLocks noChangeArrowheads="1"/>
        </xdr:cNvSpPr>
      </xdr:nvSpPr>
      <xdr:spPr>
        <a:xfrm>
          <a:off x="74771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91" name="TextBox 91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92" name="TextBox 92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93" name="TextBox 93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94" name="TextBox 94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95" name="TextBox 95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96" name="TextBox 96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97" name="TextBox 97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98" name="TextBox 98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99" name="TextBox 99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100" name="TextBox 100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101" name="TextBox 101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102" name="TextBox 102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103" name="TextBox 103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104" name="TextBox 104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105" name="TextBox 105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106" name="TextBox 106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107" name="TextBox 107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108" name="TextBox 108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109" name="TextBox 109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110" name="TextBox 110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111" name="TextBox 111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112" name="TextBox 112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113" name="TextBox 113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114" name="TextBox 114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115" name="TextBox 115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116" name="TextBox 116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117" name="TextBox 117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118" name="TextBox 118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119" name="TextBox 119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120" name="TextBox 120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121" name="TextBox 121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122" name="TextBox 122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123" name="TextBox 123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124" name="TextBox 124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125" name="TextBox 125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114300</xdr:rowOff>
    </xdr:from>
    <xdr:ext cx="180975" cy="266700"/>
    <xdr:sp fLocksText="0">
      <xdr:nvSpPr>
        <xdr:cNvPr id="126" name="TextBox 126"/>
        <xdr:cNvSpPr txBox="1">
          <a:spLocks noChangeArrowheads="1"/>
        </xdr:cNvSpPr>
      </xdr:nvSpPr>
      <xdr:spPr>
        <a:xfrm>
          <a:off x="8886825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114300</xdr:rowOff>
    </xdr:from>
    <xdr:ext cx="180975" cy="266700"/>
    <xdr:sp fLocksText="0">
      <xdr:nvSpPr>
        <xdr:cNvPr id="127" name="TextBox 127"/>
        <xdr:cNvSpPr txBox="1">
          <a:spLocks noChangeArrowheads="1"/>
        </xdr:cNvSpPr>
      </xdr:nvSpPr>
      <xdr:spPr>
        <a:xfrm>
          <a:off x="99250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114300</xdr:rowOff>
    </xdr:from>
    <xdr:ext cx="180975" cy="266700"/>
    <xdr:sp fLocksText="0">
      <xdr:nvSpPr>
        <xdr:cNvPr id="128" name="TextBox 128"/>
        <xdr:cNvSpPr txBox="1">
          <a:spLocks noChangeArrowheads="1"/>
        </xdr:cNvSpPr>
      </xdr:nvSpPr>
      <xdr:spPr>
        <a:xfrm>
          <a:off x="99250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114300</xdr:rowOff>
    </xdr:from>
    <xdr:ext cx="180975" cy="266700"/>
    <xdr:sp fLocksText="0">
      <xdr:nvSpPr>
        <xdr:cNvPr id="129" name="TextBox 129"/>
        <xdr:cNvSpPr txBox="1">
          <a:spLocks noChangeArrowheads="1"/>
        </xdr:cNvSpPr>
      </xdr:nvSpPr>
      <xdr:spPr>
        <a:xfrm>
          <a:off x="99250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114300</xdr:rowOff>
    </xdr:from>
    <xdr:ext cx="180975" cy="266700"/>
    <xdr:sp fLocksText="0">
      <xdr:nvSpPr>
        <xdr:cNvPr id="130" name="TextBox 130"/>
        <xdr:cNvSpPr txBox="1">
          <a:spLocks noChangeArrowheads="1"/>
        </xdr:cNvSpPr>
      </xdr:nvSpPr>
      <xdr:spPr>
        <a:xfrm>
          <a:off x="99250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114300</xdr:rowOff>
    </xdr:from>
    <xdr:ext cx="180975" cy="266700"/>
    <xdr:sp fLocksText="0">
      <xdr:nvSpPr>
        <xdr:cNvPr id="131" name="TextBox 131"/>
        <xdr:cNvSpPr txBox="1">
          <a:spLocks noChangeArrowheads="1"/>
        </xdr:cNvSpPr>
      </xdr:nvSpPr>
      <xdr:spPr>
        <a:xfrm>
          <a:off x="99250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114300</xdr:rowOff>
    </xdr:from>
    <xdr:ext cx="180975" cy="266700"/>
    <xdr:sp fLocksText="0">
      <xdr:nvSpPr>
        <xdr:cNvPr id="132" name="TextBox 132"/>
        <xdr:cNvSpPr txBox="1">
          <a:spLocks noChangeArrowheads="1"/>
        </xdr:cNvSpPr>
      </xdr:nvSpPr>
      <xdr:spPr>
        <a:xfrm>
          <a:off x="99250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114300</xdr:rowOff>
    </xdr:from>
    <xdr:ext cx="180975" cy="266700"/>
    <xdr:sp fLocksText="0">
      <xdr:nvSpPr>
        <xdr:cNvPr id="133" name="TextBox 133"/>
        <xdr:cNvSpPr txBox="1">
          <a:spLocks noChangeArrowheads="1"/>
        </xdr:cNvSpPr>
      </xdr:nvSpPr>
      <xdr:spPr>
        <a:xfrm>
          <a:off x="99250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114300</xdr:rowOff>
    </xdr:from>
    <xdr:ext cx="180975" cy="266700"/>
    <xdr:sp fLocksText="0">
      <xdr:nvSpPr>
        <xdr:cNvPr id="134" name="TextBox 134"/>
        <xdr:cNvSpPr txBox="1">
          <a:spLocks noChangeArrowheads="1"/>
        </xdr:cNvSpPr>
      </xdr:nvSpPr>
      <xdr:spPr>
        <a:xfrm>
          <a:off x="99250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114300</xdr:rowOff>
    </xdr:from>
    <xdr:ext cx="180975" cy="266700"/>
    <xdr:sp fLocksText="0">
      <xdr:nvSpPr>
        <xdr:cNvPr id="135" name="TextBox 135"/>
        <xdr:cNvSpPr txBox="1">
          <a:spLocks noChangeArrowheads="1"/>
        </xdr:cNvSpPr>
      </xdr:nvSpPr>
      <xdr:spPr>
        <a:xfrm>
          <a:off x="99250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114300</xdr:rowOff>
    </xdr:from>
    <xdr:ext cx="180975" cy="266700"/>
    <xdr:sp fLocksText="0">
      <xdr:nvSpPr>
        <xdr:cNvPr id="136" name="TextBox 136"/>
        <xdr:cNvSpPr txBox="1">
          <a:spLocks noChangeArrowheads="1"/>
        </xdr:cNvSpPr>
      </xdr:nvSpPr>
      <xdr:spPr>
        <a:xfrm>
          <a:off x="99250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114300</xdr:rowOff>
    </xdr:from>
    <xdr:ext cx="180975" cy="266700"/>
    <xdr:sp fLocksText="0">
      <xdr:nvSpPr>
        <xdr:cNvPr id="137" name="TextBox 137"/>
        <xdr:cNvSpPr txBox="1">
          <a:spLocks noChangeArrowheads="1"/>
        </xdr:cNvSpPr>
      </xdr:nvSpPr>
      <xdr:spPr>
        <a:xfrm>
          <a:off x="99250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114300</xdr:rowOff>
    </xdr:from>
    <xdr:ext cx="180975" cy="266700"/>
    <xdr:sp fLocksText="0">
      <xdr:nvSpPr>
        <xdr:cNvPr id="138" name="TextBox 138"/>
        <xdr:cNvSpPr txBox="1">
          <a:spLocks noChangeArrowheads="1"/>
        </xdr:cNvSpPr>
      </xdr:nvSpPr>
      <xdr:spPr>
        <a:xfrm>
          <a:off x="9925050" y="1398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="60" zoomScalePageLayoutView="0" workbookViewId="0" topLeftCell="A1">
      <selection activeCell="Q10" sqref="Q10"/>
    </sheetView>
  </sheetViews>
  <sheetFormatPr defaultColWidth="9.140625" defaultRowHeight="12.75"/>
  <cols>
    <col min="1" max="1" width="62.421875" style="2" customWidth="1"/>
    <col min="2" max="2" width="8.421875" style="20" customWidth="1"/>
    <col min="3" max="3" width="7.00390625" style="20" customWidth="1"/>
    <col min="4" max="5" width="20.140625" style="3" hidden="1" customWidth="1"/>
    <col min="6" max="6" width="20.140625" style="3" customWidth="1"/>
    <col min="7" max="7" width="19.8515625" style="3" customWidth="1"/>
    <col min="8" max="8" width="20.421875" style="3" customWidth="1"/>
    <col min="9" max="16384" width="9.140625" style="3" customWidth="1"/>
  </cols>
  <sheetData>
    <row r="1" spans="1:8" ht="9" customHeight="1">
      <c r="A1" s="39"/>
      <c r="B1" s="70"/>
      <c r="C1" s="70"/>
      <c r="D1" s="71"/>
      <c r="E1" s="71"/>
      <c r="F1" s="71"/>
      <c r="G1" s="71"/>
      <c r="H1" s="71"/>
    </row>
    <row r="2" spans="1:8" ht="17.25" customHeight="1">
      <c r="A2" s="39"/>
      <c r="B2" s="591"/>
      <c r="C2" s="591"/>
      <c r="D2" s="591"/>
      <c r="E2" s="592"/>
      <c r="F2" s="592"/>
      <c r="G2" s="593" t="s">
        <v>329</v>
      </c>
      <c r="H2" s="593"/>
    </row>
    <row r="3" spans="1:8" ht="29.25" customHeight="1">
      <c r="A3" s="39"/>
      <c r="B3" s="591" t="s">
        <v>354</v>
      </c>
      <c r="C3" s="591"/>
      <c r="D3" s="591"/>
      <c r="E3" s="591"/>
      <c r="F3" s="591"/>
      <c r="G3" s="591"/>
      <c r="H3" s="591"/>
    </row>
    <row r="4" spans="1:8" ht="23.25" customHeight="1">
      <c r="A4" s="39"/>
      <c r="B4" s="594"/>
      <c r="C4" s="595" t="s">
        <v>349</v>
      </c>
      <c r="D4" s="595"/>
      <c r="E4" s="595"/>
      <c r="F4" s="595"/>
      <c r="G4" s="595"/>
      <c r="H4" s="595"/>
    </row>
    <row r="5" spans="1:8" ht="22.5" customHeight="1">
      <c r="A5" s="39"/>
      <c r="B5" s="43"/>
      <c r="C5" s="43"/>
      <c r="D5" s="42"/>
      <c r="E5" s="42"/>
      <c r="F5" s="42"/>
      <c r="G5" s="42"/>
      <c r="H5" s="42"/>
    </row>
    <row r="6" spans="1:8" ht="1.5" customHeight="1">
      <c r="A6" s="39"/>
      <c r="B6" s="43"/>
      <c r="C6" s="43"/>
      <c r="D6" s="42"/>
      <c r="E6" s="42"/>
      <c r="F6" s="42"/>
      <c r="G6" s="42"/>
      <c r="H6" s="42"/>
    </row>
    <row r="7" spans="1:8" ht="53.25" customHeight="1">
      <c r="A7" s="534" t="s">
        <v>350</v>
      </c>
      <c r="B7" s="534"/>
      <c r="C7" s="534"/>
      <c r="D7" s="534"/>
      <c r="E7" s="534"/>
      <c r="F7" s="534"/>
      <c r="G7" s="534"/>
      <c r="H7" s="534"/>
    </row>
    <row r="8" spans="1:8" ht="13.5" customHeight="1" thickBot="1">
      <c r="A8" s="44"/>
      <c r="B8" s="44"/>
      <c r="C8" s="44"/>
      <c r="D8" s="42"/>
      <c r="E8" s="42"/>
      <c r="F8" s="42"/>
      <c r="G8" s="42"/>
      <c r="H8" s="42"/>
    </row>
    <row r="9" spans="1:8" ht="23.25" customHeight="1" thickBot="1">
      <c r="A9" s="532" t="s">
        <v>106</v>
      </c>
      <c r="B9" s="538" t="s">
        <v>57</v>
      </c>
      <c r="C9" s="540" t="s">
        <v>58</v>
      </c>
      <c r="D9" s="535" t="s">
        <v>301</v>
      </c>
      <c r="E9" s="536"/>
      <c r="F9" s="536"/>
      <c r="G9" s="536"/>
      <c r="H9" s="537"/>
    </row>
    <row r="10" spans="1:10" ht="48" customHeight="1" thickBot="1">
      <c r="A10" s="533"/>
      <c r="B10" s="539"/>
      <c r="C10" s="541"/>
      <c r="D10" s="57" t="s">
        <v>302</v>
      </c>
      <c r="E10" s="57"/>
      <c r="F10" s="4" t="s">
        <v>303</v>
      </c>
      <c r="G10" s="4" t="s">
        <v>304</v>
      </c>
      <c r="H10" s="4" t="s">
        <v>355</v>
      </c>
      <c r="J10" s="69"/>
    </row>
    <row r="11" spans="1:8" ht="8.25" customHeight="1" thickBot="1">
      <c r="A11" s="8">
        <v>1</v>
      </c>
      <c r="B11" s="9">
        <v>2</v>
      </c>
      <c r="C11" s="10">
        <v>3</v>
      </c>
      <c r="D11" s="58" t="s">
        <v>59</v>
      </c>
      <c r="E11" s="58"/>
      <c r="F11" s="5" t="s">
        <v>59</v>
      </c>
      <c r="G11" s="5" t="s">
        <v>305</v>
      </c>
      <c r="H11" s="5" t="s">
        <v>306</v>
      </c>
    </row>
    <row r="12" spans="1:8" ht="12.75">
      <c r="A12" s="33" t="s">
        <v>109</v>
      </c>
      <c r="B12" s="34" t="s">
        <v>94</v>
      </c>
      <c r="C12" s="35"/>
      <c r="D12" s="59" t="e">
        <f>SUM(D13:D19)</f>
        <v>#REF!</v>
      </c>
      <c r="E12" s="59" t="e">
        <f>SUM(E13:E19)</f>
        <v>#REF!</v>
      </c>
      <c r="F12" s="46">
        <f>SUM(F13:F19)</f>
        <v>188022804.39</v>
      </c>
      <c r="G12" s="46">
        <f>SUM(G13:G19)</f>
        <v>147639635.45</v>
      </c>
      <c r="H12" s="46">
        <f>SUM(H13:H19)</f>
        <v>145706287.71</v>
      </c>
    </row>
    <row r="13" spans="1:8" ht="25.5">
      <c r="A13" s="26" t="s">
        <v>129</v>
      </c>
      <c r="B13" s="11" t="s">
        <v>94</v>
      </c>
      <c r="C13" s="12" t="s">
        <v>101</v>
      </c>
      <c r="D13" s="60">
        <f>'Ведомственная структура'!L178</f>
        <v>4160910</v>
      </c>
      <c r="E13" s="60">
        <f>'Ведомственная структура'!M178</f>
        <v>0</v>
      </c>
      <c r="F13" s="47">
        <f>'Ведомственная структура'!N178</f>
        <v>4391780.96</v>
      </c>
      <c r="G13" s="47">
        <f>'Ведомственная структура'!O178</f>
        <v>4391780.96</v>
      </c>
      <c r="H13" s="47">
        <f>'Ведомственная структура'!P178</f>
        <v>4391780.96</v>
      </c>
    </row>
    <row r="14" spans="1:8" ht="38.25">
      <c r="A14" s="27" t="s">
        <v>131</v>
      </c>
      <c r="B14" s="11" t="s">
        <v>94</v>
      </c>
      <c r="C14" s="12" t="s">
        <v>97</v>
      </c>
      <c r="D14" s="60">
        <f>'Ведомственная структура'!L385</f>
        <v>3051274</v>
      </c>
      <c r="E14" s="60">
        <f>'Ведомственная структура'!M385</f>
        <v>0</v>
      </c>
      <c r="F14" s="47">
        <f>'Ведомственная структура'!N385</f>
        <v>4517012.57</v>
      </c>
      <c r="G14" s="47">
        <f>'Ведомственная структура'!O385</f>
        <v>4517012.57</v>
      </c>
      <c r="H14" s="47">
        <f>'Ведомственная структура'!P385</f>
        <v>4517012.57</v>
      </c>
    </row>
    <row r="15" spans="1:8" ht="38.25">
      <c r="A15" s="26" t="s">
        <v>156</v>
      </c>
      <c r="B15" s="11" t="s">
        <v>94</v>
      </c>
      <c r="C15" s="12" t="s">
        <v>96</v>
      </c>
      <c r="D15" s="60">
        <f>'Ведомственная структура'!L179</f>
        <v>44257349</v>
      </c>
      <c r="E15" s="60">
        <f>'Ведомственная структура'!M179</f>
        <v>0</v>
      </c>
      <c r="F15" s="47">
        <f>'Ведомственная структура'!N179</f>
        <v>61823269.949999996</v>
      </c>
      <c r="G15" s="47">
        <f>'Ведомственная структура'!O179</f>
        <v>62134398.75</v>
      </c>
      <c r="H15" s="47">
        <f>'Ведомственная структура'!P179</f>
        <v>62485745.59</v>
      </c>
    </row>
    <row r="16" spans="1:8" ht="12.75">
      <c r="A16" s="21" t="s">
        <v>239</v>
      </c>
      <c r="B16" s="11" t="s">
        <v>94</v>
      </c>
      <c r="C16" s="12" t="s">
        <v>98</v>
      </c>
      <c r="D16" s="60">
        <f>'Ведомственная структура'!L208</f>
        <v>141147.63</v>
      </c>
      <c r="E16" s="60">
        <f>'Ведомственная структура'!M208</f>
        <v>0</v>
      </c>
      <c r="F16" s="47">
        <f>'Ведомственная структура'!N208</f>
        <v>2901.65</v>
      </c>
      <c r="G16" s="47">
        <f>'Ведомственная структура'!O208</f>
        <v>2586.48</v>
      </c>
      <c r="H16" s="47">
        <f>'Ведомственная структура'!P208</f>
        <v>2586.58</v>
      </c>
    </row>
    <row r="17" spans="1:8" ht="31.5" customHeight="1">
      <c r="A17" s="27" t="s">
        <v>130</v>
      </c>
      <c r="B17" s="11" t="s">
        <v>94</v>
      </c>
      <c r="C17" s="12" t="s">
        <v>95</v>
      </c>
      <c r="D17" s="60">
        <f>'Ведомственная структура'!L579+'Ведомственная структура'!L118</f>
        <v>14087400</v>
      </c>
      <c r="E17" s="60">
        <f>'Ведомственная структура'!M579+'Ведомственная структура'!M118</f>
        <v>331938</v>
      </c>
      <c r="F17" s="47">
        <f>'Ведомственная структура'!N579+'Ведомственная структура'!N118</f>
        <v>19783226.060000002</v>
      </c>
      <c r="G17" s="47">
        <f>'Ведомственная структура'!O579+'Ведомственная структура'!O118</f>
        <v>19783226.060000002</v>
      </c>
      <c r="H17" s="47">
        <f>'Ведомственная структура'!P579+'Ведомственная структура'!P118</f>
        <v>19783226.060000002</v>
      </c>
    </row>
    <row r="18" spans="1:8" ht="12.75">
      <c r="A18" s="27" t="s">
        <v>107</v>
      </c>
      <c r="B18" s="11" t="s">
        <v>94</v>
      </c>
      <c r="C18" s="12" t="s">
        <v>121</v>
      </c>
      <c r="D18" s="60">
        <f>'Ведомственная структура'!L126</f>
        <v>500000</v>
      </c>
      <c r="E18" s="60">
        <f>'Ведомственная структура'!M126</f>
        <v>0</v>
      </c>
      <c r="F18" s="47">
        <f>'Ведомственная структура'!N126</f>
        <v>100000</v>
      </c>
      <c r="G18" s="47">
        <f>'Ведомственная структура'!O126</f>
        <v>0</v>
      </c>
      <c r="H18" s="47">
        <f>'Ведомственная структура'!P126</f>
        <v>0</v>
      </c>
    </row>
    <row r="19" spans="1:8" ht="12.75">
      <c r="A19" s="27" t="s">
        <v>124</v>
      </c>
      <c r="B19" s="11" t="s">
        <v>94</v>
      </c>
      <c r="C19" s="12" t="s">
        <v>147</v>
      </c>
      <c r="D19" s="60" t="e">
        <f>'Ведомственная структура'!L131+'Ведомственная структура'!L213+'Ведомственная структура'!L404+'Ведомственная структура'!L397+'Ведомственная структура'!L482</f>
        <v>#REF!</v>
      </c>
      <c r="E19" s="60" t="e">
        <f>'Ведомственная структура'!M131+'Ведомственная структура'!M213+'Ведомственная структура'!M404+'Ведомственная структура'!M397+'Ведомственная структура'!M482</f>
        <v>#REF!</v>
      </c>
      <c r="F19" s="47">
        <f>'Ведомственная структура'!N131+'Ведомственная структура'!N213+'Ведомственная структура'!N404+'Ведомственная структура'!N397+'Ведомственная структура'!N482</f>
        <v>97404613.19999999</v>
      </c>
      <c r="G19" s="47">
        <f>'Ведомственная структура'!O131+'Ведомственная структура'!O213+'Ведомственная структура'!O404+'Ведомственная структура'!O397+'Ведомственная структура'!O482</f>
        <v>56810630.629999995</v>
      </c>
      <c r="H19" s="47">
        <f>'Ведомственная структура'!P131+'Ведомственная структура'!P213+'Ведомственная структура'!P404+'Ведомственная структура'!P397+'Ведомственная структура'!P482</f>
        <v>54525935.95</v>
      </c>
    </row>
    <row r="20" spans="1:8" s="1" customFormat="1" ht="12.75">
      <c r="A20" s="28" t="s">
        <v>148</v>
      </c>
      <c r="B20" s="14" t="s">
        <v>101</v>
      </c>
      <c r="C20" s="23"/>
      <c r="D20" s="61">
        <f>D21</f>
        <v>2830921.54</v>
      </c>
      <c r="E20" s="61">
        <f>E21</f>
        <v>0</v>
      </c>
      <c r="F20" s="48">
        <f>F21</f>
        <v>3881798.09</v>
      </c>
      <c r="G20" s="48">
        <f>G21</f>
        <v>4068008.97</v>
      </c>
      <c r="H20" s="48">
        <f>H21</f>
        <v>4188883.21</v>
      </c>
    </row>
    <row r="21" spans="1:8" ht="12.75">
      <c r="A21" s="27" t="s">
        <v>149</v>
      </c>
      <c r="B21" s="11" t="s">
        <v>101</v>
      </c>
      <c r="C21" s="12" t="s">
        <v>97</v>
      </c>
      <c r="D21" s="60">
        <f>'Ведомственная структура'!L143</f>
        <v>2830921.54</v>
      </c>
      <c r="E21" s="60">
        <f>'Ведомственная структура'!M143</f>
        <v>0</v>
      </c>
      <c r="F21" s="47">
        <f>'Ведомственная структура'!N143</f>
        <v>3881798.09</v>
      </c>
      <c r="G21" s="47">
        <f>'Ведомственная структура'!O143</f>
        <v>4068008.97</v>
      </c>
      <c r="H21" s="47">
        <f>'Ведомственная структура'!P143</f>
        <v>4188883.21</v>
      </c>
    </row>
    <row r="22" spans="1:8" ht="28.5" customHeight="1">
      <c r="A22" s="29" t="s">
        <v>110</v>
      </c>
      <c r="B22" s="13" t="s">
        <v>97</v>
      </c>
      <c r="C22" s="12"/>
      <c r="D22" s="61" t="e">
        <f>#REF!+D24</f>
        <v>#REF!</v>
      </c>
      <c r="E22" s="61" t="e">
        <f>#REF!+E24</f>
        <v>#REF!</v>
      </c>
      <c r="F22" s="48">
        <f>F24</f>
        <v>1200500</v>
      </c>
      <c r="G22" s="48">
        <f>G24</f>
        <v>1974600</v>
      </c>
      <c r="H22" s="48">
        <f>H24</f>
        <v>1652400</v>
      </c>
    </row>
    <row r="23" spans="1:8" ht="15" customHeight="1" hidden="1">
      <c r="A23" s="19" t="s">
        <v>230</v>
      </c>
      <c r="B23" s="11" t="s">
        <v>97</v>
      </c>
      <c r="C23" s="12" t="s">
        <v>113</v>
      </c>
      <c r="D23" s="60"/>
      <c r="E23" s="60"/>
      <c r="F23" s="47"/>
      <c r="G23" s="47"/>
      <c r="H23" s="47"/>
    </row>
    <row r="24" spans="1:8" ht="15" customHeight="1">
      <c r="A24" s="19" t="s">
        <v>230</v>
      </c>
      <c r="B24" s="11" t="s">
        <v>97</v>
      </c>
      <c r="C24" s="12" t="s">
        <v>113</v>
      </c>
      <c r="D24" s="60">
        <f>'Ведомственная структура'!L252</f>
        <v>1524300</v>
      </c>
      <c r="E24" s="60">
        <f>'Ведомственная структура'!M252</f>
        <v>0</v>
      </c>
      <c r="F24" s="47">
        <f>'Ведомственная структура'!N252+'Ведомственная структура'!N150</f>
        <v>1200500</v>
      </c>
      <c r="G24" s="47">
        <f>'Ведомственная структура'!O252+'Ведомственная структура'!O150</f>
        <v>1974600</v>
      </c>
      <c r="H24" s="47">
        <f>'Ведомственная структура'!P252+'Ведомственная структура'!P150</f>
        <v>1652400</v>
      </c>
    </row>
    <row r="25" spans="1:8" ht="12.75">
      <c r="A25" s="28" t="s">
        <v>112</v>
      </c>
      <c r="B25" s="36" t="s">
        <v>96</v>
      </c>
      <c r="C25" s="37"/>
      <c r="D25" s="61" t="e">
        <f>SUM(D26:D31)</f>
        <v>#REF!</v>
      </c>
      <c r="E25" s="61" t="e">
        <f>SUM(E26:E31)</f>
        <v>#REF!</v>
      </c>
      <c r="F25" s="48">
        <f>SUM(F26:F31)</f>
        <v>77978193.73</v>
      </c>
      <c r="G25" s="48">
        <f>SUM(G26:G31)</f>
        <v>48794279.16</v>
      </c>
      <c r="H25" s="48">
        <f>SUM(H26:H31)</f>
        <v>48647343.38</v>
      </c>
    </row>
    <row r="26" spans="1:8" ht="12.75">
      <c r="A26" s="27" t="s">
        <v>50</v>
      </c>
      <c r="B26" s="11" t="s">
        <v>96</v>
      </c>
      <c r="C26" s="12" t="s">
        <v>98</v>
      </c>
      <c r="D26" s="60">
        <f>'Ведомственная структура'!L260</f>
        <v>1584000</v>
      </c>
      <c r="E26" s="60">
        <f>'Ведомственная структура'!M260</f>
        <v>0</v>
      </c>
      <c r="F26" s="47">
        <f>'Ведомственная структура'!N260</f>
        <v>1217000</v>
      </c>
      <c r="G26" s="47">
        <f>'Ведомственная структура'!O260</f>
        <v>1096000</v>
      </c>
      <c r="H26" s="47">
        <f>'Ведомственная структура'!P260</f>
        <v>0</v>
      </c>
    </row>
    <row r="27" spans="1:8" ht="12.75" hidden="1">
      <c r="A27" s="30" t="s">
        <v>56</v>
      </c>
      <c r="B27" s="11" t="s">
        <v>96</v>
      </c>
      <c r="C27" s="12" t="s">
        <v>95</v>
      </c>
      <c r="D27" s="60">
        <v>0</v>
      </c>
      <c r="E27" s="60">
        <v>0</v>
      </c>
      <c r="F27" s="47">
        <v>0</v>
      </c>
      <c r="G27" s="47">
        <v>0</v>
      </c>
      <c r="H27" s="47">
        <v>0</v>
      </c>
    </row>
    <row r="28" spans="1:8" ht="12.75" hidden="1">
      <c r="A28" s="30" t="s">
        <v>219</v>
      </c>
      <c r="B28" s="11" t="s">
        <v>96</v>
      </c>
      <c r="C28" s="12" t="s">
        <v>100</v>
      </c>
      <c r="D28" s="60"/>
      <c r="E28" s="60"/>
      <c r="F28" s="47"/>
      <c r="G28" s="47"/>
      <c r="H28" s="47"/>
    </row>
    <row r="29" spans="1:8" ht="12.75">
      <c r="A29" s="30" t="s">
        <v>219</v>
      </c>
      <c r="B29" s="11" t="s">
        <v>96</v>
      </c>
      <c r="C29" s="12" t="s">
        <v>100</v>
      </c>
      <c r="D29" s="60" t="e">
        <f>'Ведомственная структура'!L267</f>
        <v>#REF!</v>
      </c>
      <c r="E29" s="60" t="e">
        <f>'Ведомственная структура'!M267</f>
        <v>#REF!</v>
      </c>
      <c r="F29" s="47">
        <f>'Ведомственная структура'!N267</f>
        <v>5715630</v>
      </c>
      <c r="G29" s="47">
        <f>'Ведомственная структура'!O267</f>
        <v>9973757.51</v>
      </c>
      <c r="H29" s="47">
        <f>'Ведомственная структура'!P267</f>
        <v>9973757.51</v>
      </c>
    </row>
    <row r="30" spans="1:8" ht="12.75">
      <c r="A30" s="27" t="s">
        <v>153</v>
      </c>
      <c r="B30" s="11" t="s">
        <v>96</v>
      </c>
      <c r="C30" s="12" t="s">
        <v>111</v>
      </c>
      <c r="D30" s="60" t="e">
        <f>'Ведомственная структура'!L278</f>
        <v>#REF!</v>
      </c>
      <c r="E30" s="60" t="e">
        <f>'Ведомственная структура'!M278</f>
        <v>#REF!</v>
      </c>
      <c r="F30" s="47">
        <f>'Ведомственная структура'!N278</f>
        <v>69212055.39</v>
      </c>
      <c r="G30" s="47">
        <f>'Ведомственная структура'!O278</f>
        <v>34000944.98</v>
      </c>
      <c r="H30" s="47">
        <f>'Ведомственная структура'!P278</f>
        <v>35145009.2</v>
      </c>
    </row>
    <row r="31" spans="1:8" ht="18" customHeight="1">
      <c r="A31" s="27" t="s">
        <v>120</v>
      </c>
      <c r="B31" s="11" t="s">
        <v>96</v>
      </c>
      <c r="C31" s="12" t="s">
        <v>126</v>
      </c>
      <c r="D31" s="60">
        <f>'Ведомственная структура'!L498+'Ведомственная структура'!L425+'Ведомственная структура'!L295</f>
        <v>2828576.66</v>
      </c>
      <c r="E31" s="60">
        <f>'Ведомственная структура'!M498+'Ведомственная структура'!M425+'Ведомственная структура'!M295</f>
        <v>-95000</v>
      </c>
      <c r="F31" s="47">
        <f>'Ведомственная структура'!N498+'Ведомственная структура'!N425+'Ведомственная структура'!N295</f>
        <v>1833508.3399999999</v>
      </c>
      <c r="G31" s="47">
        <f>'Ведомственная структура'!O498+'Ведомственная структура'!O425+'Ведомственная структура'!O295</f>
        <v>3723576.67</v>
      </c>
      <c r="H31" s="47">
        <f>'Ведомственная структура'!P498+'Ведомственная структура'!P425+'Ведомственная структура'!P295</f>
        <v>3528576.67</v>
      </c>
    </row>
    <row r="32" spans="1:8" ht="12.75">
      <c r="A32" s="28" t="s">
        <v>102</v>
      </c>
      <c r="B32" s="14" t="s">
        <v>98</v>
      </c>
      <c r="C32" s="12"/>
      <c r="D32" s="61" t="e">
        <f>SUM(D34:D37)</f>
        <v>#REF!</v>
      </c>
      <c r="E32" s="61" t="e">
        <f>SUM(E34:E37)</f>
        <v>#REF!</v>
      </c>
      <c r="F32" s="48">
        <f>SUM(F34:F37)</f>
        <v>14085454</v>
      </c>
      <c r="G32" s="48">
        <f>SUM(G34:G37)</f>
        <v>8225929.36</v>
      </c>
      <c r="H32" s="48">
        <f>SUM(H34:H37)</f>
        <v>7376305.62</v>
      </c>
    </row>
    <row r="33" spans="1:8" ht="12.75" hidden="1">
      <c r="A33" s="27" t="s">
        <v>163</v>
      </c>
      <c r="B33" s="15" t="s">
        <v>98</v>
      </c>
      <c r="C33" s="16" t="s">
        <v>94</v>
      </c>
      <c r="D33" s="62"/>
      <c r="E33" s="62"/>
      <c r="F33" s="49"/>
      <c r="G33" s="49"/>
      <c r="H33" s="49"/>
    </row>
    <row r="34" spans="1:8" ht="12.75" hidden="1">
      <c r="A34" s="27" t="s">
        <v>163</v>
      </c>
      <c r="B34" s="15" t="s">
        <v>98</v>
      </c>
      <c r="C34" s="16" t="s">
        <v>94</v>
      </c>
      <c r="D34" s="62">
        <v>0</v>
      </c>
      <c r="E34" s="62">
        <v>0</v>
      </c>
      <c r="F34" s="49">
        <v>0</v>
      </c>
      <c r="G34" s="49">
        <v>0</v>
      </c>
      <c r="H34" s="49">
        <v>0</v>
      </c>
    </row>
    <row r="35" spans="1:8" ht="12.75">
      <c r="A35" s="31" t="s">
        <v>163</v>
      </c>
      <c r="B35" s="15" t="s">
        <v>98</v>
      </c>
      <c r="C35" s="16" t="s">
        <v>94</v>
      </c>
      <c r="D35" s="62" t="e">
        <f>'Ведомственная структура'!L431</f>
        <v>#REF!</v>
      </c>
      <c r="E35" s="62" t="e">
        <f>'Ведомственная структура'!M431</f>
        <v>#REF!</v>
      </c>
      <c r="F35" s="49">
        <f>'Ведомственная структура'!N431+'Ведомственная структура'!N303</f>
        <v>6056000</v>
      </c>
      <c r="G35" s="49">
        <f>'Ведомственная структура'!O431+'Ведомственная структура'!O303</f>
        <v>7725929.36</v>
      </c>
      <c r="H35" s="49">
        <f>'Ведомственная структура'!P431+'Ведомственная структура'!P303</f>
        <v>6876305.62</v>
      </c>
    </row>
    <row r="36" spans="1:8" ht="12.75">
      <c r="A36" s="27" t="s">
        <v>114</v>
      </c>
      <c r="B36" s="11" t="s">
        <v>98</v>
      </c>
      <c r="C36" s="12" t="s">
        <v>101</v>
      </c>
      <c r="D36" s="60">
        <f>'Ведомственная структура'!L444+'Ведомственная структура'!L308</f>
        <v>300000</v>
      </c>
      <c r="E36" s="60">
        <f>'Ведомственная структура'!M444+'Ведомственная структура'!M308</f>
        <v>0</v>
      </c>
      <c r="F36" s="47">
        <f>'Ведомственная структура'!N444+'Ведомственная структура'!N308+'Ведомственная структура'!N454</f>
        <v>7529454</v>
      </c>
      <c r="G36" s="47">
        <f>'Ведомственная структура'!O444+'Ведомственная структура'!O308+'Ведомственная структура'!O454</f>
        <v>0</v>
      </c>
      <c r="H36" s="47">
        <f>'Ведомственная структура'!P444+'Ведомственная структура'!P308+'Ведомственная структура'!P454</f>
        <v>0</v>
      </c>
    </row>
    <row r="37" spans="1:8" ht="12.75">
      <c r="A37" s="27" t="s">
        <v>203</v>
      </c>
      <c r="B37" s="11" t="s">
        <v>98</v>
      </c>
      <c r="C37" s="12" t="s">
        <v>97</v>
      </c>
      <c r="D37" s="60">
        <f>'Ведомственная структура'!L459</f>
        <v>500000</v>
      </c>
      <c r="E37" s="60">
        <f>'Ведомственная структура'!M459</f>
        <v>0</v>
      </c>
      <c r="F37" s="47">
        <f>'Ведомственная структура'!N459</f>
        <v>500000</v>
      </c>
      <c r="G37" s="47">
        <f>'Ведомственная структура'!O459</f>
        <v>500000</v>
      </c>
      <c r="H37" s="47">
        <f>'Ведомственная структура'!P459</f>
        <v>500000</v>
      </c>
    </row>
    <row r="38" spans="1:8" ht="12.75">
      <c r="A38" s="41" t="s">
        <v>264</v>
      </c>
      <c r="B38" s="14" t="s">
        <v>95</v>
      </c>
      <c r="C38" s="23"/>
      <c r="D38" s="63">
        <f>D39</f>
        <v>5152900.67</v>
      </c>
      <c r="E38" s="63">
        <f>E39</f>
        <v>0</v>
      </c>
      <c r="F38" s="50">
        <f>F39</f>
        <v>6319380</v>
      </c>
      <c r="G38" s="50">
        <f>G39</f>
        <v>14403333.99</v>
      </c>
      <c r="H38" s="50">
        <f>H39</f>
        <v>17549516.62</v>
      </c>
    </row>
    <row r="39" spans="1:8" ht="12.75">
      <c r="A39" s="40" t="s">
        <v>263</v>
      </c>
      <c r="B39" s="11" t="s">
        <v>95</v>
      </c>
      <c r="C39" s="12" t="s">
        <v>98</v>
      </c>
      <c r="D39" s="60">
        <f>'Ведомственная структура'!L465</f>
        <v>5152900.67</v>
      </c>
      <c r="E39" s="60">
        <f>'Ведомственная структура'!M465</f>
        <v>0</v>
      </c>
      <c r="F39" s="47">
        <f>'Ведомственная структура'!N465</f>
        <v>6319380</v>
      </c>
      <c r="G39" s="47">
        <f>'Ведомственная структура'!O465</f>
        <v>14403333.99</v>
      </c>
      <c r="H39" s="47">
        <f>'Ведомственная структура'!P465</f>
        <v>17549516.62</v>
      </c>
    </row>
    <row r="40" spans="1:8" ht="12.75">
      <c r="A40" s="28" t="s">
        <v>103</v>
      </c>
      <c r="B40" s="14" t="s">
        <v>99</v>
      </c>
      <c r="C40" s="12"/>
      <c r="D40" s="61" t="e">
        <f>SUM(D41:D46)</f>
        <v>#REF!</v>
      </c>
      <c r="E40" s="61" t="e">
        <f>SUM(E41:E46)</f>
        <v>#REF!</v>
      </c>
      <c r="F40" s="48">
        <f>SUM(F41:F46)</f>
        <v>1132970165.72</v>
      </c>
      <c r="G40" s="48">
        <f>SUM(G41:G46)</f>
        <v>1171118754.78</v>
      </c>
      <c r="H40" s="48">
        <f>SUM(H41:H46)</f>
        <v>1205270803.43</v>
      </c>
    </row>
    <row r="41" spans="1:8" ht="12.75">
      <c r="A41" s="27" t="s">
        <v>185</v>
      </c>
      <c r="B41" s="11" t="s">
        <v>99</v>
      </c>
      <c r="C41" s="12" t="s">
        <v>94</v>
      </c>
      <c r="D41" s="62" t="e">
        <f>'Ведомственная структура'!L15</f>
        <v>#REF!</v>
      </c>
      <c r="E41" s="62" t="e">
        <f>'Ведомственная структура'!M15</f>
        <v>#REF!</v>
      </c>
      <c r="F41" s="49">
        <f>'Ведомственная структура'!N15</f>
        <v>288295000</v>
      </c>
      <c r="G41" s="49">
        <f>'Ведомственная структура'!O15</f>
        <v>309460855</v>
      </c>
      <c r="H41" s="49">
        <f>'Ведомственная структура'!P15</f>
        <v>323020000</v>
      </c>
    </row>
    <row r="42" spans="1:8" ht="12.75">
      <c r="A42" s="27" t="s">
        <v>115</v>
      </c>
      <c r="B42" s="11" t="s">
        <v>99</v>
      </c>
      <c r="C42" s="12" t="s">
        <v>101</v>
      </c>
      <c r="D42" s="60" t="e">
        <f>'Ведомственная структура'!L32</f>
        <v>#REF!</v>
      </c>
      <c r="E42" s="60" t="e">
        <f>'Ведомственная структура'!M32</f>
        <v>#REF!</v>
      </c>
      <c r="F42" s="47">
        <f>'Ведомственная структура'!N32</f>
        <v>764174008.98</v>
      </c>
      <c r="G42" s="47">
        <f>'Ведомственная структура'!O32</f>
        <v>779611909.6800001</v>
      </c>
      <c r="H42" s="47">
        <f>'Ведомственная структура'!P32</f>
        <v>799069776.4200001</v>
      </c>
    </row>
    <row r="43" spans="1:8" ht="12.75">
      <c r="A43" s="21" t="s">
        <v>222</v>
      </c>
      <c r="B43" s="11" t="s">
        <v>99</v>
      </c>
      <c r="C43" s="12" t="s">
        <v>97</v>
      </c>
      <c r="D43" s="60" t="e">
        <f>'Ведомственная структура'!#REF!+'Ведомственная структура'!L510</f>
        <v>#REF!</v>
      </c>
      <c r="E43" s="60" t="e">
        <f>'Ведомственная структура'!#REF!+'Ведомственная структура'!M510</f>
        <v>#REF!</v>
      </c>
      <c r="F43" s="47">
        <f>'Ведомственная структура'!N61+'Ведомственная структура'!N510</f>
        <v>51826870</v>
      </c>
      <c r="G43" s="47">
        <f>'Ведомственная структура'!O61+'Ведомственная структура'!O510</f>
        <v>52645070</v>
      </c>
      <c r="H43" s="47">
        <f>'Ведомственная структура'!P61+'Ведомственная структура'!P510</f>
        <v>53623670</v>
      </c>
    </row>
    <row r="44" spans="1:8" ht="25.5">
      <c r="A44" s="21" t="s">
        <v>237</v>
      </c>
      <c r="B44" s="11" t="s">
        <v>99</v>
      </c>
      <c r="C44" s="12" t="s">
        <v>98</v>
      </c>
      <c r="D44" s="60" t="e">
        <f>'Ведомственная структура'!#REF!+'Ведомственная структура'!L82</f>
        <v>#REF!</v>
      </c>
      <c r="E44" s="60" t="e">
        <f>'Ведомственная структура'!#REF!+'Ведомственная структура'!M82</f>
        <v>#REF!</v>
      </c>
      <c r="F44" s="47">
        <f>'Ведомственная структура'!N82</f>
        <v>97200</v>
      </c>
      <c r="G44" s="47">
        <f>'Ведомственная структура'!O82</f>
        <v>97200</v>
      </c>
      <c r="H44" s="47">
        <f>'Ведомственная структура'!P82</f>
        <v>97200</v>
      </c>
    </row>
    <row r="45" spans="1:8" ht="12.75">
      <c r="A45" s="27" t="s">
        <v>221</v>
      </c>
      <c r="B45" s="11" t="s">
        <v>99</v>
      </c>
      <c r="C45" s="12" t="s">
        <v>99</v>
      </c>
      <c r="D45" s="60" t="e">
        <f>'Ведомственная структура'!L522+'Ведомственная структура'!L314+'Ведомственная структура'!L90</f>
        <v>#REF!</v>
      </c>
      <c r="E45" s="60" t="e">
        <f>'Ведомственная структура'!M522+'Ведомственная структура'!M314+'Ведомственная структура'!M90</f>
        <v>#REF!</v>
      </c>
      <c r="F45" s="47">
        <f>'Ведомственная структура'!N522+'Ведомственная структура'!N314+'Ведомственная структура'!N90</f>
        <v>745000</v>
      </c>
      <c r="G45" s="47">
        <f>'Ведомственная структура'!O522+'Ведомственная структура'!O314+'Ведомственная структура'!O90</f>
        <v>1246215</v>
      </c>
      <c r="H45" s="47">
        <f>'Ведомственная структура'!P522+'Ведомственная структура'!P314+'Ведомственная структура'!P90</f>
        <v>1246215</v>
      </c>
    </row>
    <row r="46" spans="1:8" ht="12.75">
      <c r="A46" s="27" t="s">
        <v>116</v>
      </c>
      <c r="B46" s="11" t="s">
        <v>99</v>
      </c>
      <c r="C46" s="12" t="s">
        <v>111</v>
      </c>
      <c r="D46" s="60" t="e">
        <f>'Ведомственная структура'!L96+'Ведомственная структура'!L329</f>
        <v>#REF!</v>
      </c>
      <c r="E46" s="60" t="e">
        <f>'Ведомственная структура'!M96+'Ведомственная структура'!M329</f>
        <v>#REF!</v>
      </c>
      <c r="F46" s="47">
        <f>'Ведомственная структура'!N96+'Ведомственная структура'!N329</f>
        <v>27832086.74</v>
      </c>
      <c r="G46" s="47">
        <f>'Ведомственная структура'!O96+'Ведомственная структура'!O329</f>
        <v>28057505.099999998</v>
      </c>
      <c r="H46" s="47">
        <f>'Ведомственная структура'!P96+'Ведомственная структура'!P329</f>
        <v>28213942.009999998</v>
      </c>
    </row>
    <row r="47" spans="1:8" ht="12.75">
      <c r="A47" s="28" t="s">
        <v>54</v>
      </c>
      <c r="B47" s="14" t="s">
        <v>100</v>
      </c>
      <c r="C47" s="12"/>
      <c r="D47" s="61" t="e">
        <f>SUM(D48:D49)</f>
        <v>#REF!</v>
      </c>
      <c r="E47" s="61" t="e">
        <f>SUM(E48:E49)</f>
        <v>#REF!</v>
      </c>
      <c r="F47" s="48">
        <f>SUM(F48:F49)</f>
        <v>175562138.31</v>
      </c>
      <c r="G47" s="48">
        <f>SUM(G48:G49)</f>
        <v>176504438.31</v>
      </c>
      <c r="H47" s="48">
        <f>SUM(H48:H49)</f>
        <v>175946883.24</v>
      </c>
    </row>
    <row r="48" spans="1:8" ht="12.75">
      <c r="A48" s="27" t="s">
        <v>117</v>
      </c>
      <c r="B48" s="11" t="s">
        <v>100</v>
      </c>
      <c r="C48" s="12" t="s">
        <v>94</v>
      </c>
      <c r="D48" s="60" t="e">
        <f>'Ведомственная структура'!L529+'Ведомственная структура'!L335</f>
        <v>#REF!</v>
      </c>
      <c r="E48" s="60" t="e">
        <f>'Ведомственная структура'!M529+'Ведомственная структура'!M335</f>
        <v>#REF!</v>
      </c>
      <c r="F48" s="47">
        <f>'Ведомственная структура'!N529+'Ведомственная структура'!N335</f>
        <v>167287293.23</v>
      </c>
      <c r="G48" s="47">
        <f>'Ведомственная структура'!O529+'Ведомственная структура'!O335</f>
        <v>168229593.23</v>
      </c>
      <c r="H48" s="47">
        <f>'Ведомственная структура'!P529+'Ведомственная структура'!P335</f>
        <v>167672038.16</v>
      </c>
    </row>
    <row r="49" spans="1:8" ht="12.75">
      <c r="A49" s="27" t="s">
        <v>60</v>
      </c>
      <c r="B49" s="11" t="s">
        <v>100</v>
      </c>
      <c r="C49" s="12" t="s">
        <v>96</v>
      </c>
      <c r="D49" s="60">
        <f>'Ведомственная структура'!L566</f>
        <v>5729400</v>
      </c>
      <c r="E49" s="60">
        <f>'Ведомственная структура'!M566</f>
        <v>0</v>
      </c>
      <c r="F49" s="47">
        <f>'Ведомственная структура'!N566</f>
        <v>8274845.08</v>
      </c>
      <c r="G49" s="47">
        <f>'Ведомственная структура'!O566</f>
        <v>8274845.08</v>
      </c>
      <c r="H49" s="47">
        <f>'Ведомственная структура'!P566</f>
        <v>8274845.08</v>
      </c>
    </row>
    <row r="50" spans="1:8" ht="12.75">
      <c r="A50" s="28" t="s">
        <v>104</v>
      </c>
      <c r="B50" s="14" t="s">
        <v>113</v>
      </c>
      <c r="C50" s="12"/>
      <c r="D50" s="64">
        <f>SUM(D51:D55)</f>
        <v>19520818.58</v>
      </c>
      <c r="E50" s="64">
        <f>SUM(E51:E55)</f>
        <v>0</v>
      </c>
      <c r="F50" s="51">
        <f>SUM(F51:F55)</f>
        <v>19822763.759999998</v>
      </c>
      <c r="G50" s="51">
        <f>SUM(G51:G55)</f>
        <v>21522856.46</v>
      </c>
      <c r="H50" s="51">
        <f>SUM(H51:H55)</f>
        <v>22243912.19</v>
      </c>
    </row>
    <row r="51" spans="1:8" ht="12.75">
      <c r="A51" s="27" t="s">
        <v>125</v>
      </c>
      <c r="B51" s="11" t="s">
        <v>113</v>
      </c>
      <c r="C51" s="12" t="s">
        <v>94</v>
      </c>
      <c r="D51" s="60">
        <f>'Ведомственная структура'!L344</f>
        <v>4654000</v>
      </c>
      <c r="E51" s="60">
        <f>'Ведомственная структура'!M344</f>
        <v>0</v>
      </c>
      <c r="F51" s="47">
        <f>'Ведомственная структура'!N344</f>
        <v>3930200</v>
      </c>
      <c r="G51" s="47">
        <f>'Ведомственная структура'!O344</f>
        <v>4163500</v>
      </c>
      <c r="H51" s="47">
        <f>'Ведомственная структура'!P344</f>
        <v>4163500</v>
      </c>
    </row>
    <row r="52" spans="1:8" ht="12.75">
      <c r="A52" s="27" t="s">
        <v>123</v>
      </c>
      <c r="B52" s="11" t="s">
        <v>113</v>
      </c>
      <c r="C52" s="12" t="s">
        <v>97</v>
      </c>
      <c r="D52" s="60">
        <f>'Ведомственная структура'!L349</f>
        <v>540000</v>
      </c>
      <c r="E52" s="60">
        <f>'Ведомственная структура'!M349</f>
        <v>0</v>
      </c>
      <c r="F52" s="47">
        <f>'Ведомственная структура'!N349</f>
        <v>540000</v>
      </c>
      <c r="G52" s="47">
        <f>'Ведомственная структура'!O349</f>
        <v>540000</v>
      </c>
      <c r="H52" s="47">
        <f>'Ведомственная структура'!P349</f>
        <v>540000</v>
      </c>
    </row>
    <row r="53" spans="1:8" ht="12.75">
      <c r="A53" s="27" t="s">
        <v>137</v>
      </c>
      <c r="B53" s="11" t="s">
        <v>113</v>
      </c>
      <c r="C53" s="12" t="s">
        <v>96</v>
      </c>
      <c r="D53" s="60">
        <f>'Ведомственная структура'!L354+'Ведомственная структура'!L110+'Ведомственная структура'!L471</f>
        <v>9445849.629999999</v>
      </c>
      <c r="E53" s="60">
        <f>'Ведомственная структура'!M354+'Ведомственная структура'!M110+'Ведомственная структура'!M471</f>
        <v>0</v>
      </c>
      <c r="F53" s="47">
        <f>'Ведомственная структура'!N354+'Ведомственная структура'!N110+'Ведомственная структура'!N471</f>
        <v>9623348.61</v>
      </c>
      <c r="G53" s="47">
        <f>'Ведомственная структура'!O354+'Ведомственная структура'!O110+'Ведомственная структура'!O471</f>
        <v>10583621.32</v>
      </c>
      <c r="H53" s="47">
        <f>'Ведомственная структура'!P354+'Ведомственная структура'!P110+'Ведомственная структура'!P471</f>
        <v>10494773.89</v>
      </c>
    </row>
    <row r="54" spans="1:8" ht="12.75" hidden="1">
      <c r="A54" s="19" t="s">
        <v>211</v>
      </c>
      <c r="B54" s="11" t="s">
        <v>113</v>
      </c>
      <c r="C54" s="12" t="s">
        <v>95</v>
      </c>
      <c r="D54" s="60">
        <v>0</v>
      </c>
      <c r="E54" s="60">
        <v>0</v>
      </c>
      <c r="F54" s="47">
        <v>0</v>
      </c>
      <c r="G54" s="47">
        <v>0</v>
      </c>
      <c r="H54" s="47">
        <v>0</v>
      </c>
    </row>
    <row r="55" spans="1:8" ht="12.75">
      <c r="A55" s="22" t="s">
        <v>211</v>
      </c>
      <c r="B55" s="11" t="s">
        <v>113</v>
      </c>
      <c r="C55" s="12" t="s">
        <v>95</v>
      </c>
      <c r="D55" s="60">
        <f>'Ведомственная структура'!L359</f>
        <v>4880968.95</v>
      </c>
      <c r="E55" s="60">
        <f>'Ведомственная структура'!M359</f>
        <v>0</v>
      </c>
      <c r="F55" s="47">
        <f>'Ведомственная структура'!N359</f>
        <v>5729215.149999999</v>
      </c>
      <c r="G55" s="47">
        <f>'Ведомственная структура'!O359</f>
        <v>6235735.14</v>
      </c>
      <c r="H55" s="47">
        <f>'Ведомственная структура'!P359</f>
        <v>7045638.3</v>
      </c>
    </row>
    <row r="56" spans="1:8" ht="12.75">
      <c r="A56" s="28" t="s">
        <v>61</v>
      </c>
      <c r="B56" s="14" t="s">
        <v>121</v>
      </c>
      <c r="C56" s="23"/>
      <c r="D56" s="61" t="e">
        <f>D57+D58+#REF!</f>
        <v>#REF!</v>
      </c>
      <c r="E56" s="61" t="e">
        <f>E57+E58+#REF!</f>
        <v>#REF!</v>
      </c>
      <c r="F56" s="48">
        <f>F57+F58</f>
        <v>958027.4</v>
      </c>
      <c r="G56" s="48">
        <f>G57+G58</f>
        <v>1081538.4</v>
      </c>
      <c r="H56" s="48">
        <f>H57+H58</f>
        <v>0</v>
      </c>
    </row>
    <row r="57" spans="1:8" ht="12.75">
      <c r="A57" s="26" t="s">
        <v>64</v>
      </c>
      <c r="B57" s="11" t="s">
        <v>121</v>
      </c>
      <c r="C57" s="12" t="s">
        <v>94</v>
      </c>
      <c r="D57" s="60">
        <f>'Ведомственная структура'!L370</f>
        <v>694503</v>
      </c>
      <c r="E57" s="60">
        <f>'Ведомственная структура'!M370</f>
        <v>0</v>
      </c>
      <c r="F57" s="47">
        <f>'Ведомственная структура'!N370</f>
        <v>576127.4</v>
      </c>
      <c r="G57" s="47">
        <f>'Ведомственная структура'!O370</f>
        <v>673738.4</v>
      </c>
      <c r="H57" s="47">
        <f>'Ведомственная структура'!P370</f>
        <v>0</v>
      </c>
    </row>
    <row r="58" spans="1:8" ht="12.75">
      <c r="A58" s="25" t="s">
        <v>236</v>
      </c>
      <c r="B58" s="11" t="s">
        <v>121</v>
      </c>
      <c r="C58" s="12" t="s">
        <v>98</v>
      </c>
      <c r="D58" s="60">
        <f>'Ведомственная структура'!L377</f>
        <v>263500</v>
      </c>
      <c r="E58" s="60">
        <f>'Ведомственная структура'!M377</f>
        <v>0</v>
      </c>
      <c r="F58" s="47">
        <f>'Ведомственная структура'!N377</f>
        <v>381900</v>
      </c>
      <c r="G58" s="47">
        <f>'Ведомственная структура'!O377</f>
        <v>407800</v>
      </c>
      <c r="H58" s="47">
        <f>'Ведомственная структура'!P377</f>
        <v>0</v>
      </c>
    </row>
    <row r="59" spans="1:8" s="1" customFormat="1" ht="28.5" customHeight="1">
      <c r="A59" s="32" t="s">
        <v>229</v>
      </c>
      <c r="B59" s="14" t="s">
        <v>128</v>
      </c>
      <c r="C59" s="23"/>
      <c r="D59" s="61">
        <f>SUM(D60:D61)</f>
        <v>103488713.4</v>
      </c>
      <c r="E59" s="61">
        <f>SUM(E60:E61)</f>
        <v>0</v>
      </c>
      <c r="F59" s="48">
        <f>SUM(F60:F61)</f>
        <v>37898660.4</v>
      </c>
      <c r="G59" s="48">
        <f>SUM(G60:G61)</f>
        <v>12940544.4</v>
      </c>
      <c r="H59" s="48">
        <f>SUM(H60:H61)</f>
        <v>13447517.28</v>
      </c>
    </row>
    <row r="60" spans="1:8" s="1" customFormat="1" ht="25.5">
      <c r="A60" s="27" t="s">
        <v>53</v>
      </c>
      <c r="B60" s="11" t="s">
        <v>128</v>
      </c>
      <c r="C60" s="12" t="s">
        <v>94</v>
      </c>
      <c r="D60" s="62">
        <f>'Ведомственная структура'!L156</f>
        <v>11459113.399999999</v>
      </c>
      <c r="E60" s="62">
        <f>'Ведомственная структура'!M156</f>
        <v>0</v>
      </c>
      <c r="F60" s="49">
        <f>'Ведомственная структура'!N156</f>
        <v>13202660.4</v>
      </c>
      <c r="G60" s="49">
        <f>'Ведомственная структура'!O156</f>
        <v>12940544.4</v>
      </c>
      <c r="H60" s="49">
        <f>'Ведомственная структура'!P156</f>
        <v>13447517.28</v>
      </c>
    </row>
    <row r="61" spans="1:8" ht="23.25" customHeight="1" thickBot="1">
      <c r="A61" s="38" t="s">
        <v>51</v>
      </c>
      <c r="B61" s="17" t="s">
        <v>128</v>
      </c>
      <c r="C61" s="18" t="s">
        <v>97</v>
      </c>
      <c r="D61" s="65">
        <f>'Ведомственная структура'!L165</f>
        <v>92029600</v>
      </c>
      <c r="E61" s="65">
        <f>'Ведомственная структура'!M165</f>
        <v>0</v>
      </c>
      <c r="F61" s="52">
        <f>'Ведомственная структура'!N165</f>
        <v>24696000</v>
      </c>
      <c r="G61" s="52">
        <f>'Ведомственная структура'!O165</f>
        <v>0</v>
      </c>
      <c r="H61" s="52">
        <f>'Ведомственная структура'!P165</f>
        <v>0</v>
      </c>
    </row>
    <row r="62" spans="1:8" ht="23.25" customHeight="1" thickBot="1">
      <c r="A62" s="53" t="s">
        <v>321</v>
      </c>
      <c r="B62" s="54"/>
      <c r="C62" s="55"/>
      <c r="D62" s="66"/>
      <c r="E62" s="66"/>
      <c r="F62" s="56"/>
      <c r="G62" s="56">
        <f>'Ведомственная структура'!O597</f>
        <v>36535840.83</v>
      </c>
      <c r="H62" s="56">
        <f>'Ведомственная структура'!P597</f>
        <v>52353627.07</v>
      </c>
    </row>
    <row r="63" spans="1:8" ht="19.5" customHeight="1" thickBot="1">
      <c r="A63" s="24" t="s">
        <v>62</v>
      </c>
      <c r="B63" s="6"/>
      <c r="C63" s="7"/>
      <c r="D63" s="67" t="e">
        <f>D12+D22+D25+D32+D40+D47+D50+D59+D56+D20+D38</f>
        <v>#REF!</v>
      </c>
      <c r="E63" s="67"/>
      <c r="F63" s="45">
        <f>F12+F22+F25+F32+F40+F47+F50+F59+F56+F20+F38</f>
        <v>1658699885.8000002</v>
      </c>
      <c r="G63" s="45">
        <f>G12+G22+G25+G32+G40+G47+G50+G59+G56+G20+G38+G62</f>
        <v>1644809760.1100001</v>
      </c>
      <c r="H63" s="45">
        <f>H12+H22+H25+H32+H40+H47+H50+H59+H56+H20+H38+H62</f>
        <v>1694383479.75</v>
      </c>
    </row>
    <row r="64" spans="4:5" ht="12.75">
      <c r="D64" s="68"/>
      <c r="E64" s="68"/>
    </row>
  </sheetData>
  <sheetProtection/>
  <mergeCells count="9">
    <mergeCell ref="A9:A10"/>
    <mergeCell ref="A7:H7"/>
    <mergeCell ref="G2:H2"/>
    <mergeCell ref="B3:H3"/>
    <mergeCell ref="C4:H4"/>
    <mergeCell ref="B2:D2"/>
    <mergeCell ref="D9:H9"/>
    <mergeCell ref="B9:B10"/>
    <mergeCell ref="C9:C10"/>
  </mergeCells>
  <printOptions/>
  <pageMargins left="0.7874015748031497" right="0.5905511811023623" top="0.1968503937007874" bottom="0.1968503937007874" header="0.5118110236220472" footer="0.5118110236220472"/>
  <pageSetup horizontalDpi="600" verticalDpi="600" orientation="portrait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76"/>
  <sheetViews>
    <sheetView view="pageBreakPreview" zoomScaleSheetLayoutView="100" workbookViewId="0" topLeftCell="A1">
      <selection activeCell="H3" sqref="H3"/>
    </sheetView>
  </sheetViews>
  <sheetFormatPr defaultColWidth="9.140625" defaultRowHeight="12.75"/>
  <cols>
    <col min="1" max="1" width="59.8515625" style="355" customWidth="1"/>
    <col min="2" max="2" width="7.57421875" style="529" customWidth="1"/>
    <col min="3" max="3" width="6.421875" style="530" customWidth="1"/>
    <col min="4" max="4" width="7.140625" style="530" customWidth="1"/>
    <col min="5" max="5" width="3.28125" style="530" customWidth="1"/>
    <col min="6" max="6" width="2.421875" style="530" customWidth="1"/>
    <col min="7" max="7" width="4.28125" style="530" customWidth="1"/>
    <col min="8" max="8" width="2.421875" style="530" customWidth="1"/>
    <col min="9" max="9" width="7.421875" style="530" customWidth="1"/>
    <col min="10" max="10" width="3.140625" style="530" customWidth="1"/>
    <col min="11" max="11" width="8.28125" style="531" customWidth="1"/>
    <col min="12" max="12" width="0.2890625" style="355" hidden="1" customWidth="1"/>
    <col min="13" max="13" width="24.140625" style="355" hidden="1" customWidth="1"/>
    <col min="14" max="14" width="24.140625" style="355" customWidth="1"/>
    <col min="15" max="15" width="22.8515625" style="355" customWidth="1"/>
    <col min="16" max="16" width="24.140625" style="355" customWidth="1"/>
    <col min="17" max="17" width="16.8515625" style="355" customWidth="1"/>
    <col min="18" max="18" width="17.7109375" style="355" customWidth="1"/>
    <col min="19" max="19" width="14.8515625" style="355" customWidth="1"/>
    <col min="20" max="20" width="15.28125" style="355" customWidth="1"/>
    <col min="21" max="16384" width="9.140625" style="355" customWidth="1"/>
  </cols>
  <sheetData>
    <row r="1" spans="1:16" ht="18" customHeight="1">
      <c r="A1" s="352"/>
      <c r="B1" s="353"/>
      <c r="C1" s="353"/>
      <c r="D1" s="354"/>
      <c r="E1" s="354"/>
      <c r="F1" s="354"/>
      <c r="G1" s="354"/>
      <c r="H1" s="354"/>
      <c r="I1" s="354"/>
      <c r="J1" s="596" t="s">
        <v>353</v>
      </c>
      <c r="K1" s="596"/>
      <c r="L1" s="596"/>
      <c r="M1" s="596"/>
      <c r="N1" s="596"/>
      <c r="O1" s="596"/>
      <c r="P1" s="596"/>
    </row>
    <row r="2" spans="1:16" ht="18.75" customHeight="1">
      <c r="A2" s="352"/>
      <c r="B2" s="353"/>
      <c r="C2" s="353"/>
      <c r="D2" s="354"/>
      <c r="E2" s="354"/>
      <c r="F2" s="354"/>
      <c r="G2" s="354"/>
      <c r="H2" s="354"/>
      <c r="I2" s="354"/>
      <c r="J2" s="596" t="s">
        <v>253</v>
      </c>
      <c r="K2" s="596"/>
      <c r="L2" s="596"/>
      <c r="M2" s="596"/>
      <c r="N2" s="596"/>
      <c r="O2" s="596"/>
      <c r="P2" s="596"/>
    </row>
    <row r="3" spans="1:16" ht="21" customHeight="1">
      <c r="A3" s="352"/>
      <c r="B3" s="353"/>
      <c r="C3" s="353"/>
      <c r="D3" s="354"/>
      <c r="E3" s="354"/>
      <c r="F3" s="354"/>
      <c r="G3" s="354"/>
      <c r="H3" s="354"/>
      <c r="I3" s="354"/>
      <c r="J3" s="597" t="s">
        <v>268</v>
      </c>
      <c r="K3" s="598" t="s">
        <v>351</v>
      </c>
      <c r="L3" s="598"/>
      <c r="M3" s="598"/>
      <c r="N3" s="598"/>
      <c r="O3" s="598"/>
      <c r="P3" s="598"/>
    </row>
    <row r="4" spans="1:15" ht="15.75" customHeight="1">
      <c r="A4" s="352"/>
      <c r="B4" s="353"/>
      <c r="C4" s="353"/>
      <c r="D4" s="354"/>
      <c r="E4" s="354"/>
      <c r="F4" s="354"/>
      <c r="G4" s="354"/>
      <c r="H4" s="354"/>
      <c r="I4" s="354"/>
      <c r="J4" s="356"/>
      <c r="K4" s="356"/>
      <c r="L4" s="357"/>
      <c r="M4" s="357"/>
      <c r="N4" s="357"/>
      <c r="O4" s="357"/>
    </row>
    <row r="5" spans="1:16" s="358" customFormat="1" ht="37.5" customHeight="1">
      <c r="A5" s="549" t="s">
        <v>386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</row>
    <row r="6" spans="1:11" s="358" customFormat="1" ht="13.5" thickBot="1">
      <c r="A6" s="542"/>
      <c r="B6" s="542"/>
      <c r="C6" s="542"/>
      <c r="D6" s="542"/>
      <c r="E6" s="542"/>
      <c r="F6" s="542"/>
      <c r="G6" s="542"/>
      <c r="H6" s="542"/>
      <c r="I6" s="542"/>
      <c r="J6" s="542"/>
      <c r="K6" s="542"/>
    </row>
    <row r="7" spans="1:16" s="359" customFormat="1" ht="15" customHeight="1" thickBot="1">
      <c r="A7" s="553" t="s">
        <v>106</v>
      </c>
      <c r="B7" s="546" t="s">
        <v>142</v>
      </c>
      <c r="C7" s="546" t="s">
        <v>138</v>
      </c>
      <c r="D7" s="546" t="s">
        <v>139</v>
      </c>
      <c r="E7" s="553" t="s">
        <v>119</v>
      </c>
      <c r="F7" s="554"/>
      <c r="G7" s="554"/>
      <c r="H7" s="554"/>
      <c r="I7" s="554"/>
      <c r="J7" s="555"/>
      <c r="K7" s="546" t="s">
        <v>143</v>
      </c>
      <c r="L7" s="569" t="s">
        <v>301</v>
      </c>
      <c r="M7" s="569"/>
      <c r="N7" s="569"/>
      <c r="O7" s="569"/>
      <c r="P7" s="570"/>
    </row>
    <row r="8" spans="1:16" s="359" customFormat="1" ht="15">
      <c r="A8" s="556"/>
      <c r="B8" s="547"/>
      <c r="C8" s="547"/>
      <c r="D8" s="547"/>
      <c r="E8" s="556"/>
      <c r="F8" s="557"/>
      <c r="G8" s="557"/>
      <c r="H8" s="557"/>
      <c r="I8" s="557"/>
      <c r="J8" s="558"/>
      <c r="K8" s="547"/>
      <c r="L8" s="550" t="s">
        <v>302</v>
      </c>
      <c r="M8" s="562" t="s">
        <v>331</v>
      </c>
      <c r="N8" s="562" t="s">
        <v>356</v>
      </c>
      <c r="O8" s="565" t="s">
        <v>304</v>
      </c>
      <c r="P8" s="543" t="s">
        <v>355</v>
      </c>
    </row>
    <row r="9" spans="1:16" s="359" customFormat="1" ht="15" customHeight="1">
      <c r="A9" s="556"/>
      <c r="B9" s="547"/>
      <c r="C9" s="547"/>
      <c r="D9" s="547"/>
      <c r="E9" s="556"/>
      <c r="F9" s="557"/>
      <c r="G9" s="557"/>
      <c r="H9" s="557"/>
      <c r="I9" s="557"/>
      <c r="J9" s="558"/>
      <c r="K9" s="547"/>
      <c r="L9" s="551"/>
      <c r="M9" s="563"/>
      <c r="N9" s="563"/>
      <c r="O9" s="566"/>
      <c r="P9" s="544"/>
    </row>
    <row r="10" spans="1:16" s="359" customFormat="1" ht="15">
      <c r="A10" s="556"/>
      <c r="B10" s="547"/>
      <c r="C10" s="547"/>
      <c r="D10" s="547"/>
      <c r="E10" s="556"/>
      <c r="F10" s="557"/>
      <c r="G10" s="557"/>
      <c r="H10" s="557"/>
      <c r="I10" s="557"/>
      <c r="J10" s="558"/>
      <c r="K10" s="547"/>
      <c r="L10" s="551"/>
      <c r="M10" s="563"/>
      <c r="N10" s="563"/>
      <c r="O10" s="566"/>
      <c r="P10" s="544"/>
    </row>
    <row r="11" spans="1:16" s="359" customFormat="1" ht="15.75" thickBot="1">
      <c r="A11" s="559"/>
      <c r="B11" s="548"/>
      <c r="C11" s="548"/>
      <c r="D11" s="548"/>
      <c r="E11" s="559"/>
      <c r="F11" s="560"/>
      <c r="G11" s="560"/>
      <c r="H11" s="560"/>
      <c r="I11" s="560"/>
      <c r="J11" s="561"/>
      <c r="K11" s="548"/>
      <c r="L11" s="552"/>
      <c r="M11" s="564"/>
      <c r="N11" s="564"/>
      <c r="O11" s="567"/>
      <c r="P11" s="545"/>
    </row>
    <row r="12" spans="1:16" s="366" customFormat="1" ht="13.5" thickBot="1">
      <c r="A12" s="360">
        <v>1</v>
      </c>
      <c r="B12" s="361">
        <v>2</v>
      </c>
      <c r="C12" s="361">
        <v>3</v>
      </c>
      <c r="D12" s="361">
        <v>4</v>
      </c>
      <c r="E12" s="573">
        <v>5</v>
      </c>
      <c r="F12" s="574"/>
      <c r="G12" s="574"/>
      <c r="H12" s="574"/>
      <c r="I12" s="574"/>
      <c r="J12" s="575"/>
      <c r="K12" s="362">
        <v>6</v>
      </c>
      <c r="L12" s="363">
        <v>7</v>
      </c>
      <c r="M12" s="364"/>
      <c r="N12" s="364">
        <v>7</v>
      </c>
      <c r="O12" s="360">
        <v>8</v>
      </c>
      <c r="P12" s="365">
        <v>9</v>
      </c>
    </row>
    <row r="13" spans="1:16" s="379" customFormat="1" ht="25.5">
      <c r="A13" s="367" t="s">
        <v>348</v>
      </c>
      <c r="B13" s="368" t="s">
        <v>134</v>
      </c>
      <c r="C13" s="369"/>
      <c r="D13" s="370"/>
      <c r="E13" s="371"/>
      <c r="F13" s="371"/>
      <c r="G13" s="371"/>
      <c r="H13" s="371"/>
      <c r="I13" s="371"/>
      <c r="J13" s="372"/>
      <c r="K13" s="373"/>
      <c r="L13" s="374" t="e">
        <f>L14+L109+#REF!</f>
        <v>#REF!</v>
      </c>
      <c r="M13" s="375" t="e">
        <f>M14+M109+#REF!</f>
        <v>#REF!</v>
      </c>
      <c r="N13" s="376">
        <f>N14+N109</f>
        <v>1121224865.72</v>
      </c>
      <c r="O13" s="377">
        <f>O14+O109</f>
        <v>1158923589.7800002</v>
      </c>
      <c r="P13" s="378">
        <f>P14+P109</f>
        <v>1194025748.43</v>
      </c>
    </row>
    <row r="14" spans="1:16" s="386" customFormat="1" ht="12.75">
      <c r="A14" s="380" t="s">
        <v>103</v>
      </c>
      <c r="B14" s="381" t="s">
        <v>134</v>
      </c>
      <c r="C14" s="198" t="s">
        <v>99</v>
      </c>
      <c r="D14" s="382"/>
      <c r="E14" s="199"/>
      <c r="F14" s="199"/>
      <c r="G14" s="199"/>
      <c r="H14" s="199"/>
      <c r="I14" s="242"/>
      <c r="J14" s="383"/>
      <c r="K14" s="384"/>
      <c r="L14" s="385" t="e">
        <f>L32+L90+L96+L15+#REF!+L82</f>
        <v>#REF!</v>
      </c>
      <c r="M14" s="377" t="e">
        <f>M32+M90+M96+M15+#REF!+M82</f>
        <v>#REF!</v>
      </c>
      <c r="N14" s="378">
        <f>N32+N90+N96+N15+N82+N61</f>
        <v>1115154295.72</v>
      </c>
      <c r="O14" s="377">
        <f>O32+O90+O96+O15+O82+O61</f>
        <v>1152776669.7800002</v>
      </c>
      <c r="P14" s="378">
        <f>P32+P90+P96+P15+P82+P61</f>
        <v>1186928718.43</v>
      </c>
    </row>
    <row r="15" spans="1:16" s="386" customFormat="1" ht="12.75">
      <c r="A15" s="380" t="s">
        <v>185</v>
      </c>
      <c r="B15" s="381" t="s">
        <v>134</v>
      </c>
      <c r="C15" s="198" t="s">
        <v>99</v>
      </c>
      <c r="D15" s="382" t="s">
        <v>94</v>
      </c>
      <c r="E15" s="199"/>
      <c r="F15" s="199"/>
      <c r="G15" s="199"/>
      <c r="H15" s="199"/>
      <c r="I15" s="242"/>
      <c r="J15" s="383"/>
      <c r="K15" s="384"/>
      <c r="L15" s="279" t="e">
        <f>L16</f>
        <v>#REF!</v>
      </c>
      <c r="M15" s="387" t="e">
        <f>M16</f>
        <v>#REF!</v>
      </c>
      <c r="N15" s="388">
        <f>N16</f>
        <v>288295000</v>
      </c>
      <c r="O15" s="387">
        <f>O16</f>
        <v>309460855</v>
      </c>
      <c r="P15" s="388">
        <f>P16</f>
        <v>323020000</v>
      </c>
    </row>
    <row r="16" spans="1:16" s="386" customFormat="1" ht="25.5">
      <c r="A16" s="389" t="s">
        <v>372</v>
      </c>
      <c r="B16" s="381" t="s">
        <v>134</v>
      </c>
      <c r="C16" s="198" t="s">
        <v>99</v>
      </c>
      <c r="D16" s="382" t="s">
        <v>94</v>
      </c>
      <c r="E16" s="126" t="s">
        <v>6</v>
      </c>
      <c r="F16" s="126" t="s">
        <v>168</v>
      </c>
      <c r="G16" s="126" t="s">
        <v>168</v>
      </c>
      <c r="H16" s="126" t="s">
        <v>168</v>
      </c>
      <c r="I16" s="126" t="s">
        <v>169</v>
      </c>
      <c r="J16" s="128" t="s">
        <v>168</v>
      </c>
      <c r="K16" s="390"/>
      <c r="L16" s="154" t="e">
        <f>L22+L28+L19+L29+L23+#REF!</f>
        <v>#REF!</v>
      </c>
      <c r="M16" s="72" t="e">
        <f>M22+M28+M19+M29+M23+#REF!</f>
        <v>#REF!</v>
      </c>
      <c r="N16" s="73">
        <f>N22+N28+N19+N29+N23</f>
        <v>288295000</v>
      </c>
      <c r="O16" s="72">
        <f>O22+O28+O19+O29+O23</f>
        <v>309460855</v>
      </c>
      <c r="P16" s="73">
        <f>P22+P28+P19+P29+P23</f>
        <v>323020000</v>
      </c>
    </row>
    <row r="17" spans="1:16" s="386" customFormat="1" ht="70.5" customHeight="1">
      <c r="A17" s="380" t="s">
        <v>234</v>
      </c>
      <c r="B17" s="381" t="s">
        <v>134</v>
      </c>
      <c r="C17" s="198" t="s">
        <v>99</v>
      </c>
      <c r="D17" s="382" t="s">
        <v>94</v>
      </c>
      <c r="E17" s="126" t="s">
        <v>6</v>
      </c>
      <c r="F17" s="125" t="s">
        <v>168</v>
      </c>
      <c r="G17" s="126" t="s">
        <v>168</v>
      </c>
      <c r="H17" s="126" t="s">
        <v>168</v>
      </c>
      <c r="I17" s="127" t="s">
        <v>235</v>
      </c>
      <c r="J17" s="128" t="s">
        <v>168</v>
      </c>
      <c r="K17" s="391"/>
      <c r="L17" s="154">
        <f aca="true" t="shared" si="0" ref="L17:P18">L18</f>
        <v>11000000</v>
      </c>
      <c r="M17" s="72">
        <f t="shared" si="0"/>
        <v>0</v>
      </c>
      <c r="N17" s="73">
        <f t="shared" si="0"/>
        <v>16275000</v>
      </c>
      <c r="O17" s="72">
        <f t="shared" si="0"/>
        <v>17440855</v>
      </c>
      <c r="P17" s="73">
        <f t="shared" si="0"/>
        <v>21000000</v>
      </c>
    </row>
    <row r="18" spans="1:16" s="386" customFormat="1" ht="25.5">
      <c r="A18" s="389" t="s">
        <v>29</v>
      </c>
      <c r="B18" s="381" t="s">
        <v>134</v>
      </c>
      <c r="C18" s="198" t="s">
        <v>99</v>
      </c>
      <c r="D18" s="382" t="s">
        <v>94</v>
      </c>
      <c r="E18" s="126" t="s">
        <v>6</v>
      </c>
      <c r="F18" s="125" t="s">
        <v>168</v>
      </c>
      <c r="G18" s="126" t="s">
        <v>168</v>
      </c>
      <c r="H18" s="126" t="s">
        <v>168</v>
      </c>
      <c r="I18" s="127" t="s">
        <v>235</v>
      </c>
      <c r="J18" s="128" t="s">
        <v>168</v>
      </c>
      <c r="K18" s="391" t="s">
        <v>182</v>
      </c>
      <c r="L18" s="154">
        <f t="shared" si="0"/>
        <v>11000000</v>
      </c>
      <c r="M18" s="72">
        <f t="shared" si="0"/>
        <v>0</v>
      </c>
      <c r="N18" s="73">
        <f t="shared" si="0"/>
        <v>16275000</v>
      </c>
      <c r="O18" s="72">
        <f t="shared" si="0"/>
        <v>17440855</v>
      </c>
      <c r="P18" s="73">
        <f t="shared" si="0"/>
        <v>21000000</v>
      </c>
    </row>
    <row r="19" spans="1:16" s="386" customFormat="1" ht="12.75">
      <c r="A19" s="389" t="s">
        <v>30</v>
      </c>
      <c r="B19" s="381" t="s">
        <v>134</v>
      </c>
      <c r="C19" s="198" t="s">
        <v>99</v>
      </c>
      <c r="D19" s="382" t="s">
        <v>94</v>
      </c>
      <c r="E19" s="126" t="s">
        <v>6</v>
      </c>
      <c r="F19" s="125" t="s">
        <v>168</v>
      </c>
      <c r="G19" s="126" t="s">
        <v>168</v>
      </c>
      <c r="H19" s="126" t="s">
        <v>168</v>
      </c>
      <c r="I19" s="127" t="s">
        <v>235</v>
      </c>
      <c r="J19" s="128" t="s">
        <v>168</v>
      </c>
      <c r="K19" s="391" t="s">
        <v>31</v>
      </c>
      <c r="L19" s="154">
        <v>11000000</v>
      </c>
      <c r="M19" s="72">
        <v>0</v>
      </c>
      <c r="N19" s="73">
        <v>16275000</v>
      </c>
      <c r="O19" s="72">
        <v>17440855</v>
      </c>
      <c r="P19" s="73">
        <v>21000000</v>
      </c>
    </row>
    <row r="20" spans="1:16" s="386" customFormat="1" ht="12.75">
      <c r="A20" s="389" t="s">
        <v>192</v>
      </c>
      <c r="B20" s="381" t="s">
        <v>134</v>
      </c>
      <c r="C20" s="198" t="s">
        <v>99</v>
      </c>
      <c r="D20" s="382" t="s">
        <v>94</v>
      </c>
      <c r="E20" s="136" t="s">
        <v>6</v>
      </c>
      <c r="F20" s="272" t="s">
        <v>168</v>
      </c>
      <c r="G20" s="126" t="s">
        <v>168</v>
      </c>
      <c r="H20" s="126" t="s">
        <v>168</v>
      </c>
      <c r="I20" s="160" t="s">
        <v>90</v>
      </c>
      <c r="J20" s="128" t="s">
        <v>168</v>
      </c>
      <c r="K20" s="391"/>
      <c r="L20" s="154">
        <f aca="true" t="shared" si="1" ref="L20:P21">L21</f>
        <v>135143500</v>
      </c>
      <c r="M20" s="72">
        <f t="shared" si="1"/>
        <v>0</v>
      </c>
      <c r="N20" s="73">
        <f t="shared" si="1"/>
        <v>170000000</v>
      </c>
      <c r="O20" s="72">
        <f t="shared" si="1"/>
        <v>190000000</v>
      </c>
      <c r="P20" s="73">
        <f t="shared" si="1"/>
        <v>200000000</v>
      </c>
    </row>
    <row r="21" spans="1:16" s="386" customFormat="1" ht="25.5">
      <c r="A21" s="389" t="s">
        <v>29</v>
      </c>
      <c r="B21" s="381" t="s">
        <v>134</v>
      </c>
      <c r="C21" s="198" t="s">
        <v>99</v>
      </c>
      <c r="D21" s="382" t="s">
        <v>94</v>
      </c>
      <c r="E21" s="136" t="s">
        <v>6</v>
      </c>
      <c r="F21" s="272" t="s">
        <v>168</v>
      </c>
      <c r="G21" s="126" t="s">
        <v>168</v>
      </c>
      <c r="H21" s="126" t="s">
        <v>168</v>
      </c>
      <c r="I21" s="160" t="s">
        <v>90</v>
      </c>
      <c r="J21" s="128" t="s">
        <v>168</v>
      </c>
      <c r="K21" s="391">
        <v>600</v>
      </c>
      <c r="L21" s="154">
        <f t="shared" si="1"/>
        <v>135143500</v>
      </c>
      <c r="M21" s="72">
        <f t="shared" si="1"/>
        <v>0</v>
      </c>
      <c r="N21" s="73">
        <f t="shared" si="1"/>
        <v>170000000</v>
      </c>
      <c r="O21" s="72">
        <f t="shared" si="1"/>
        <v>190000000</v>
      </c>
      <c r="P21" s="73">
        <f t="shared" si="1"/>
        <v>200000000</v>
      </c>
    </row>
    <row r="22" spans="1:16" s="386" customFormat="1" ht="12.75">
      <c r="A22" s="389" t="s">
        <v>30</v>
      </c>
      <c r="B22" s="381" t="s">
        <v>134</v>
      </c>
      <c r="C22" s="198" t="s">
        <v>99</v>
      </c>
      <c r="D22" s="382" t="s">
        <v>94</v>
      </c>
      <c r="E22" s="136" t="s">
        <v>6</v>
      </c>
      <c r="F22" s="272" t="s">
        <v>168</v>
      </c>
      <c r="G22" s="126" t="s">
        <v>168</v>
      </c>
      <c r="H22" s="126" t="s">
        <v>168</v>
      </c>
      <c r="I22" s="160" t="s">
        <v>90</v>
      </c>
      <c r="J22" s="128" t="s">
        <v>168</v>
      </c>
      <c r="K22" s="391" t="s">
        <v>31</v>
      </c>
      <c r="L22" s="154">
        <v>135143500</v>
      </c>
      <c r="M22" s="72">
        <v>0</v>
      </c>
      <c r="N22" s="73">
        <v>170000000</v>
      </c>
      <c r="O22" s="72">
        <v>190000000</v>
      </c>
      <c r="P22" s="73">
        <v>200000000</v>
      </c>
    </row>
    <row r="23" spans="1:16" s="386" customFormat="1" ht="12.75" customHeight="1" hidden="1">
      <c r="A23" s="389" t="s">
        <v>162</v>
      </c>
      <c r="B23" s="381" t="s">
        <v>134</v>
      </c>
      <c r="C23" s="198" t="s">
        <v>99</v>
      </c>
      <c r="D23" s="382" t="s">
        <v>94</v>
      </c>
      <c r="E23" s="126" t="s">
        <v>6</v>
      </c>
      <c r="F23" s="126" t="s">
        <v>168</v>
      </c>
      <c r="G23" s="126" t="s">
        <v>168</v>
      </c>
      <c r="H23" s="126" t="s">
        <v>168</v>
      </c>
      <c r="I23" s="126" t="s">
        <v>5</v>
      </c>
      <c r="J23" s="128" t="s">
        <v>168</v>
      </c>
      <c r="K23" s="390"/>
      <c r="L23" s="154">
        <f aca="true" t="shared" si="2" ref="L23:P24">L24</f>
        <v>0</v>
      </c>
      <c r="M23" s="72">
        <f t="shared" si="2"/>
        <v>0</v>
      </c>
      <c r="N23" s="73">
        <f t="shared" si="2"/>
        <v>0</v>
      </c>
      <c r="O23" s="72">
        <f t="shared" si="2"/>
        <v>0</v>
      </c>
      <c r="P23" s="73">
        <f t="shared" si="2"/>
        <v>0</v>
      </c>
    </row>
    <row r="24" spans="1:16" s="386" customFormat="1" ht="25.5" customHeight="1" hidden="1">
      <c r="A24" s="389" t="s">
        <v>29</v>
      </c>
      <c r="B24" s="381" t="s">
        <v>134</v>
      </c>
      <c r="C24" s="198" t="s">
        <v>99</v>
      </c>
      <c r="D24" s="382" t="s">
        <v>94</v>
      </c>
      <c r="E24" s="126" t="s">
        <v>6</v>
      </c>
      <c r="F24" s="125" t="s">
        <v>168</v>
      </c>
      <c r="G24" s="126" t="s">
        <v>168</v>
      </c>
      <c r="H24" s="126" t="s">
        <v>168</v>
      </c>
      <c r="I24" s="127" t="s">
        <v>5</v>
      </c>
      <c r="J24" s="128" t="s">
        <v>168</v>
      </c>
      <c r="K24" s="391">
        <v>600</v>
      </c>
      <c r="L24" s="154">
        <f t="shared" si="2"/>
        <v>0</v>
      </c>
      <c r="M24" s="72">
        <f t="shared" si="2"/>
        <v>0</v>
      </c>
      <c r="N24" s="73">
        <f t="shared" si="2"/>
        <v>0</v>
      </c>
      <c r="O24" s="72">
        <f t="shared" si="2"/>
        <v>0</v>
      </c>
      <c r="P24" s="73">
        <f t="shared" si="2"/>
        <v>0</v>
      </c>
    </row>
    <row r="25" spans="1:16" s="386" customFormat="1" ht="12.75" customHeight="1" hidden="1">
      <c r="A25" s="389" t="s">
        <v>30</v>
      </c>
      <c r="B25" s="381" t="s">
        <v>134</v>
      </c>
      <c r="C25" s="198" t="s">
        <v>99</v>
      </c>
      <c r="D25" s="382" t="s">
        <v>94</v>
      </c>
      <c r="E25" s="126" t="s">
        <v>6</v>
      </c>
      <c r="F25" s="125" t="s">
        <v>168</v>
      </c>
      <c r="G25" s="126" t="s">
        <v>168</v>
      </c>
      <c r="H25" s="126" t="s">
        <v>168</v>
      </c>
      <c r="I25" s="127" t="s">
        <v>5</v>
      </c>
      <c r="J25" s="128" t="s">
        <v>168</v>
      </c>
      <c r="K25" s="391" t="s">
        <v>31</v>
      </c>
      <c r="L25" s="154">
        <v>0</v>
      </c>
      <c r="M25" s="72">
        <v>0</v>
      </c>
      <c r="N25" s="73">
        <v>0</v>
      </c>
      <c r="O25" s="72">
        <v>0</v>
      </c>
      <c r="P25" s="73">
        <v>0</v>
      </c>
    </row>
    <row r="26" spans="1:16" s="386" customFormat="1" ht="25.5">
      <c r="A26" s="389" t="s">
        <v>180</v>
      </c>
      <c r="B26" s="381" t="s">
        <v>134</v>
      </c>
      <c r="C26" s="198" t="s">
        <v>99</v>
      </c>
      <c r="D26" s="382" t="s">
        <v>94</v>
      </c>
      <c r="E26" s="136" t="s">
        <v>6</v>
      </c>
      <c r="F26" s="272" t="s">
        <v>168</v>
      </c>
      <c r="G26" s="126" t="s">
        <v>168</v>
      </c>
      <c r="H26" s="126" t="s">
        <v>168</v>
      </c>
      <c r="I26" s="160" t="s">
        <v>181</v>
      </c>
      <c r="J26" s="128" t="s">
        <v>168</v>
      </c>
      <c r="K26" s="391"/>
      <c r="L26" s="279">
        <f aca="true" t="shared" si="3" ref="L26:P27">L27</f>
        <v>90241800</v>
      </c>
      <c r="M26" s="387">
        <f t="shared" si="3"/>
        <v>0</v>
      </c>
      <c r="N26" s="388">
        <f t="shared" si="3"/>
        <v>102000000</v>
      </c>
      <c r="O26" s="387">
        <f t="shared" si="3"/>
        <v>102000000</v>
      </c>
      <c r="P26" s="388">
        <f t="shared" si="3"/>
        <v>102000000</v>
      </c>
    </row>
    <row r="27" spans="1:21" s="386" customFormat="1" ht="25.5">
      <c r="A27" s="389" t="s">
        <v>29</v>
      </c>
      <c r="B27" s="381" t="s">
        <v>134</v>
      </c>
      <c r="C27" s="198" t="s">
        <v>99</v>
      </c>
      <c r="D27" s="382" t="s">
        <v>94</v>
      </c>
      <c r="E27" s="126" t="s">
        <v>6</v>
      </c>
      <c r="F27" s="125" t="s">
        <v>168</v>
      </c>
      <c r="G27" s="126" t="s">
        <v>168</v>
      </c>
      <c r="H27" s="126" t="s">
        <v>168</v>
      </c>
      <c r="I27" s="127" t="s">
        <v>181</v>
      </c>
      <c r="J27" s="128" t="s">
        <v>168</v>
      </c>
      <c r="K27" s="391">
        <v>600</v>
      </c>
      <c r="L27" s="279">
        <f t="shared" si="3"/>
        <v>90241800</v>
      </c>
      <c r="M27" s="387">
        <f t="shared" si="3"/>
        <v>0</v>
      </c>
      <c r="N27" s="388">
        <f t="shared" si="3"/>
        <v>102000000</v>
      </c>
      <c r="O27" s="387">
        <f t="shared" si="3"/>
        <v>102000000</v>
      </c>
      <c r="P27" s="388">
        <f t="shared" si="3"/>
        <v>102000000</v>
      </c>
      <c r="R27" s="392"/>
      <c r="S27" s="392"/>
      <c r="T27" s="392"/>
      <c r="U27" s="392"/>
    </row>
    <row r="28" spans="1:16" s="386" customFormat="1" ht="12.75">
      <c r="A28" s="389" t="s">
        <v>30</v>
      </c>
      <c r="B28" s="381" t="s">
        <v>134</v>
      </c>
      <c r="C28" s="198" t="s">
        <v>99</v>
      </c>
      <c r="D28" s="382" t="s">
        <v>94</v>
      </c>
      <c r="E28" s="126" t="s">
        <v>6</v>
      </c>
      <c r="F28" s="125" t="s">
        <v>168</v>
      </c>
      <c r="G28" s="126" t="s">
        <v>168</v>
      </c>
      <c r="H28" s="126" t="s">
        <v>168</v>
      </c>
      <c r="I28" s="127" t="s">
        <v>181</v>
      </c>
      <c r="J28" s="128" t="s">
        <v>168</v>
      </c>
      <c r="K28" s="391" t="s">
        <v>31</v>
      </c>
      <c r="L28" s="279">
        <v>90241800</v>
      </c>
      <c r="M28" s="387">
        <v>0</v>
      </c>
      <c r="N28" s="388">
        <v>102000000</v>
      </c>
      <c r="O28" s="387">
        <v>102000000</v>
      </c>
      <c r="P28" s="388">
        <v>102000000</v>
      </c>
    </row>
    <row r="29" spans="1:20" s="386" customFormat="1" ht="49.5" customHeight="1">
      <c r="A29" s="380" t="s">
        <v>381</v>
      </c>
      <c r="B29" s="381" t="s">
        <v>134</v>
      </c>
      <c r="C29" s="198" t="s">
        <v>99</v>
      </c>
      <c r="D29" s="382" t="s">
        <v>94</v>
      </c>
      <c r="E29" s="126" t="s">
        <v>6</v>
      </c>
      <c r="F29" s="125" t="s">
        <v>168</v>
      </c>
      <c r="G29" s="126" t="s">
        <v>168</v>
      </c>
      <c r="H29" s="126" t="s">
        <v>168</v>
      </c>
      <c r="I29" s="127" t="s">
        <v>287</v>
      </c>
      <c r="J29" s="128" t="s">
        <v>168</v>
      </c>
      <c r="K29" s="391"/>
      <c r="L29" s="279">
        <f aca="true" t="shared" si="4" ref="L29:P30">L30</f>
        <v>37000</v>
      </c>
      <c r="M29" s="387">
        <f t="shared" si="4"/>
        <v>0</v>
      </c>
      <c r="N29" s="388">
        <f t="shared" si="4"/>
        <v>20000</v>
      </c>
      <c r="O29" s="387">
        <f t="shared" si="4"/>
        <v>20000</v>
      </c>
      <c r="P29" s="388">
        <f>P30</f>
        <v>20000</v>
      </c>
      <c r="R29" s="392"/>
      <c r="S29" s="392"/>
      <c r="T29" s="392"/>
    </row>
    <row r="30" spans="1:16" s="386" customFormat="1" ht="34.5" customHeight="1">
      <c r="A30" s="389" t="s">
        <v>29</v>
      </c>
      <c r="B30" s="381" t="s">
        <v>134</v>
      </c>
      <c r="C30" s="198" t="s">
        <v>99</v>
      </c>
      <c r="D30" s="382" t="s">
        <v>94</v>
      </c>
      <c r="E30" s="126" t="s">
        <v>6</v>
      </c>
      <c r="F30" s="125" t="s">
        <v>168</v>
      </c>
      <c r="G30" s="126" t="s">
        <v>168</v>
      </c>
      <c r="H30" s="126" t="s">
        <v>168</v>
      </c>
      <c r="I30" s="127" t="s">
        <v>287</v>
      </c>
      <c r="J30" s="128" t="s">
        <v>168</v>
      </c>
      <c r="K30" s="391" t="s">
        <v>182</v>
      </c>
      <c r="L30" s="279">
        <f t="shared" si="4"/>
        <v>37000</v>
      </c>
      <c r="M30" s="387">
        <f t="shared" si="4"/>
        <v>0</v>
      </c>
      <c r="N30" s="388">
        <f t="shared" si="4"/>
        <v>20000</v>
      </c>
      <c r="O30" s="387">
        <f t="shared" si="4"/>
        <v>20000</v>
      </c>
      <c r="P30" s="388">
        <f t="shared" si="4"/>
        <v>20000</v>
      </c>
    </row>
    <row r="31" spans="1:21" s="386" customFormat="1" ht="21.75" customHeight="1">
      <c r="A31" s="389" t="s">
        <v>30</v>
      </c>
      <c r="B31" s="381" t="s">
        <v>134</v>
      </c>
      <c r="C31" s="198" t="s">
        <v>99</v>
      </c>
      <c r="D31" s="382" t="s">
        <v>94</v>
      </c>
      <c r="E31" s="126" t="s">
        <v>6</v>
      </c>
      <c r="F31" s="125" t="s">
        <v>168</v>
      </c>
      <c r="G31" s="126" t="s">
        <v>168</v>
      </c>
      <c r="H31" s="126" t="s">
        <v>168</v>
      </c>
      <c r="I31" s="127" t="s">
        <v>287</v>
      </c>
      <c r="J31" s="128" t="s">
        <v>168</v>
      </c>
      <c r="K31" s="391" t="s">
        <v>31</v>
      </c>
      <c r="L31" s="279">
        <v>37000</v>
      </c>
      <c r="M31" s="387">
        <v>0</v>
      </c>
      <c r="N31" s="388">
        <v>20000</v>
      </c>
      <c r="O31" s="387">
        <v>20000</v>
      </c>
      <c r="P31" s="388">
        <v>20000</v>
      </c>
      <c r="R31" s="392"/>
      <c r="S31" s="392"/>
      <c r="T31" s="392"/>
      <c r="U31" s="392"/>
    </row>
    <row r="32" spans="1:16" ht="12.75">
      <c r="A32" s="380" t="s">
        <v>115</v>
      </c>
      <c r="B32" s="381" t="s">
        <v>134</v>
      </c>
      <c r="C32" s="198" t="s">
        <v>99</v>
      </c>
      <c r="D32" s="382" t="s">
        <v>101</v>
      </c>
      <c r="E32" s="199"/>
      <c r="F32" s="199"/>
      <c r="G32" s="126"/>
      <c r="H32" s="126"/>
      <c r="I32" s="199"/>
      <c r="J32" s="183"/>
      <c r="K32" s="393"/>
      <c r="L32" s="279" t="e">
        <f>L33</f>
        <v>#REF!</v>
      </c>
      <c r="M32" s="387" t="e">
        <f>M33</f>
        <v>#REF!</v>
      </c>
      <c r="N32" s="388">
        <f>N33</f>
        <v>764174008.98</v>
      </c>
      <c r="O32" s="387">
        <f>O33</f>
        <v>779611909.6800001</v>
      </c>
      <c r="P32" s="388">
        <f>P33</f>
        <v>799069776.4200001</v>
      </c>
    </row>
    <row r="33" spans="1:16" ht="25.5">
      <c r="A33" s="389" t="s">
        <v>372</v>
      </c>
      <c r="B33" s="381" t="s">
        <v>134</v>
      </c>
      <c r="C33" s="198" t="s">
        <v>99</v>
      </c>
      <c r="D33" s="382" t="s">
        <v>101</v>
      </c>
      <c r="E33" s="126" t="s">
        <v>6</v>
      </c>
      <c r="F33" s="126" t="s">
        <v>168</v>
      </c>
      <c r="G33" s="126" t="s">
        <v>168</v>
      </c>
      <c r="H33" s="126" t="s">
        <v>168</v>
      </c>
      <c r="I33" s="126" t="s">
        <v>169</v>
      </c>
      <c r="J33" s="128" t="s">
        <v>168</v>
      </c>
      <c r="K33" s="390"/>
      <c r="L33" s="154" t="e">
        <f>L43+L40+L46+L58+L37+L52+L49+L34+L55+#REF!</f>
        <v>#REF!</v>
      </c>
      <c r="M33" s="72" t="e">
        <f>M43+M40+M46+M58+M37+M52+M49+M34+M55+#REF!</f>
        <v>#REF!</v>
      </c>
      <c r="N33" s="73">
        <f>N43+N40+N46+N58+N37+N52+N49+N34+N55</f>
        <v>764174008.98</v>
      </c>
      <c r="O33" s="72">
        <f>O43+O40+O46+O58+O37+O52+O49+O34+O55</f>
        <v>779611909.6800001</v>
      </c>
      <c r="P33" s="73">
        <f>P43+P40+P46+P58+P37+P52+P49+P34+P55</f>
        <v>799069776.4200001</v>
      </c>
    </row>
    <row r="34" spans="1:16" ht="38.25">
      <c r="A34" s="389" t="s">
        <v>308</v>
      </c>
      <c r="B34" s="381" t="s">
        <v>134</v>
      </c>
      <c r="C34" s="198" t="s">
        <v>99</v>
      </c>
      <c r="D34" s="382" t="s">
        <v>101</v>
      </c>
      <c r="E34" s="126" t="s">
        <v>6</v>
      </c>
      <c r="F34" s="126" t="s">
        <v>168</v>
      </c>
      <c r="G34" s="126" t="s">
        <v>168</v>
      </c>
      <c r="H34" s="126" t="s">
        <v>168</v>
      </c>
      <c r="I34" s="126" t="s">
        <v>309</v>
      </c>
      <c r="J34" s="128" t="s">
        <v>168</v>
      </c>
      <c r="K34" s="390"/>
      <c r="L34" s="154">
        <f aca="true" t="shared" si="5" ref="L34:P35">L35</f>
        <v>30041850</v>
      </c>
      <c r="M34" s="72">
        <f t="shared" si="5"/>
        <v>0</v>
      </c>
      <c r="N34" s="73">
        <f t="shared" si="5"/>
        <v>29388725</v>
      </c>
      <c r="O34" s="72">
        <f t="shared" si="5"/>
        <v>29878545</v>
      </c>
      <c r="P34" s="73">
        <f t="shared" si="5"/>
        <v>29878545</v>
      </c>
    </row>
    <row r="35" spans="1:20" ht="25.5">
      <c r="A35" s="389" t="s">
        <v>29</v>
      </c>
      <c r="B35" s="381" t="s">
        <v>134</v>
      </c>
      <c r="C35" s="198" t="s">
        <v>99</v>
      </c>
      <c r="D35" s="382" t="s">
        <v>101</v>
      </c>
      <c r="E35" s="126" t="s">
        <v>6</v>
      </c>
      <c r="F35" s="126" t="s">
        <v>168</v>
      </c>
      <c r="G35" s="126" t="s">
        <v>168</v>
      </c>
      <c r="H35" s="126" t="s">
        <v>168</v>
      </c>
      <c r="I35" s="126" t="s">
        <v>309</v>
      </c>
      <c r="J35" s="128" t="s">
        <v>168</v>
      </c>
      <c r="K35" s="390" t="s">
        <v>182</v>
      </c>
      <c r="L35" s="154">
        <f t="shared" si="5"/>
        <v>30041850</v>
      </c>
      <c r="M35" s="72">
        <f t="shared" si="5"/>
        <v>0</v>
      </c>
      <c r="N35" s="73">
        <f t="shared" si="5"/>
        <v>29388725</v>
      </c>
      <c r="O35" s="72">
        <f t="shared" si="5"/>
        <v>29878545</v>
      </c>
      <c r="P35" s="73">
        <f t="shared" si="5"/>
        <v>29878545</v>
      </c>
      <c r="R35" s="394"/>
      <c r="S35" s="394"/>
      <c r="T35" s="394"/>
    </row>
    <row r="36" spans="1:16" ht="12.75">
      <c r="A36" s="389" t="s">
        <v>30</v>
      </c>
      <c r="B36" s="381" t="s">
        <v>134</v>
      </c>
      <c r="C36" s="198" t="s">
        <v>99</v>
      </c>
      <c r="D36" s="382" t="s">
        <v>101</v>
      </c>
      <c r="E36" s="126" t="s">
        <v>6</v>
      </c>
      <c r="F36" s="126" t="s">
        <v>168</v>
      </c>
      <c r="G36" s="126" t="s">
        <v>168</v>
      </c>
      <c r="H36" s="126" t="s">
        <v>168</v>
      </c>
      <c r="I36" s="126" t="s">
        <v>309</v>
      </c>
      <c r="J36" s="128" t="s">
        <v>168</v>
      </c>
      <c r="K36" s="390" t="s">
        <v>31</v>
      </c>
      <c r="L36" s="154">
        <v>30041850</v>
      </c>
      <c r="M36" s="72">
        <v>0</v>
      </c>
      <c r="N36" s="73">
        <v>29388725</v>
      </c>
      <c r="O36" s="72">
        <v>29878545</v>
      </c>
      <c r="P36" s="73">
        <v>29878545</v>
      </c>
    </row>
    <row r="37" spans="1:16" ht="66" customHeight="1">
      <c r="A37" s="380" t="s">
        <v>234</v>
      </c>
      <c r="B37" s="381" t="s">
        <v>134</v>
      </c>
      <c r="C37" s="198" t="s">
        <v>99</v>
      </c>
      <c r="D37" s="382" t="s">
        <v>101</v>
      </c>
      <c r="E37" s="126" t="s">
        <v>6</v>
      </c>
      <c r="F37" s="125" t="s">
        <v>168</v>
      </c>
      <c r="G37" s="126" t="s">
        <v>168</v>
      </c>
      <c r="H37" s="126" t="s">
        <v>168</v>
      </c>
      <c r="I37" s="127" t="s">
        <v>235</v>
      </c>
      <c r="J37" s="128" t="s">
        <v>168</v>
      </c>
      <c r="K37" s="391"/>
      <c r="L37" s="279">
        <f aca="true" t="shared" si="6" ref="L37:P38">L38</f>
        <v>31049218</v>
      </c>
      <c r="M37" s="387">
        <f t="shared" si="6"/>
        <v>0</v>
      </c>
      <c r="N37" s="388">
        <f t="shared" si="6"/>
        <v>37971446.15</v>
      </c>
      <c r="O37" s="387">
        <f t="shared" si="6"/>
        <v>38971446.46</v>
      </c>
      <c r="P37" s="388">
        <f t="shared" si="6"/>
        <v>43138827.47</v>
      </c>
    </row>
    <row r="38" spans="1:16" ht="25.5">
      <c r="A38" s="389" t="s">
        <v>29</v>
      </c>
      <c r="B38" s="381" t="s">
        <v>134</v>
      </c>
      <c r="C38" s="198" t="s">
        <v>99</v>
      </c>
      <c r="D38" s="382" t="s">
        <v>101</v>
      </c>
      <c r="E38" s="126" t="s">
        <v>6</v>
      </c>
      <c r="F38" s="125" t="s">
        <v>168</v>
      </c>
      <c r="G38" s="126" t="s">
        <v>168</v>
      </c>
      <c r="H38" s="126" t="s">
        <v>168</v>
      </c>
      <c r="I38" s="127" t="s">
        <v>235</v>
      </c>
      <c r="J38" s="128" t="s">
        <v>168</v>
      </c>
      <c r="K38" s="391" t="s">
        <v>182</v>
      </c>
      <c r="L38" s="279">
        <f t="shared" si="6"/>
        <v>31049218</v>
      </c>
      <c r="M38" s="387">
        <f t="shared" si="6"/>
        <v>0</v>
      </c>
      <c r="N38" s="388">
        <f t="shared" si="6"/>
        <v>37971446.15</v>
      </c>
      <c r="O38" s="387">
        <f t="shared" si="6"/>
        <v>38971446.46</v>
      </c>
      <c r="P38" s="388">
        <f t="shared" si="6"/>
        <v>43138827.47</v>
      </c>
    </row>
    <row r="39" spans="1:16" ht="12.75">
      <c r="A39" s="389" t="s">
        <v>30</v>
      </c>
      <c r="B39" s="381" t="s">
        <v>134</v>
      </c>
      <c r="C39" s="198" t="s">
        <v>99</v>
      </c>
      <c r="D39" s="382" t="s">
        <v>101</v>
      </c>
      <c r="E39" s="126" t="s">
        <v>6</v>
      </c>
      <c r="F39" s="125" t="s">
        <v>168</v>
      </c>
      <c r="G39" s="126" t="s">
        <v>168</v>
      </c>
      <c r="H39" s="126" t="s">
        <v>168</v>
      </c>
      <c r="I39" s="127" t="s">
        <v>235</v>
      </c>
      <c r="J39" s="128" t="s">
        <v>168</v>
      </c>
      <c r="K39" s="391" t="s">
        <v>31</v>
      </c>
      <c r="L39" s="279">
        <v>31049218</v>
      </c>
      <c r="M39" s="387">
        <v>0</v>
      </c>
      <c r="N39" s="388">
        <v>37971446.15</v>
      </c>
      <c r="O39" s="387">
        <v>38971446.46</v>
      </c>
      <c r="P39" s="388">
        <v>43138827.47</v>
      </c>
    </row>
    <row r="40" spans="1:16" ht="12.75">
      <c r="A40" s="389" t="s">
        <v>192</v>
      </c>
      <c r="B40" s="381" t="s">
        <v>134</v>
      </c>
      <c r="C40" s="198" t="s">
        <v>99</v>
      </c>
      <c r="D40" s="382" t="s">
        <v>101</v>
      </c>
      <c r="E40" s="136" t="s">
        <v>6</v>
      </c>
      <c r="F40" s="272" t="s">
        <v>168</v>
      </c>
      <c r="G40" s="126" t="s">
        <v>168</v>
      </c>
      <c r="H40" s="126" t="s">
        <v>168</v>
      </c>
      <c r="I40" s="160" t="s">
        <v>90</v>
      </c>
      <c r="J40" s="128" t="s">
        <v>168</v>
      </c>
      <c r="K40" s="391"/>
      <c r="L40" s="154">
        <f aca="true" t="shared" si="7" ref="L40:P41">L41</f>
        <v>391300000</v>
      </c>
      <c r="M40" s="72">
        <f t="shared" si="7"/>
        <v>0</v>
      </c>
      <c r="N40" s="73">
        <f t="shared" si="7"/>
        <v>448280900</v>
      </c>
      <c r="O40" s="72">
        <f t="shared" si="7"/>
        <v>465306500</v>
      </c>
      <c r="P40" s="73">
        <f t="shared" si="7"/>
        <v>481619800</v>
      </c>
    </row>
    <row r="41" spans="1:16" ht="25.5">
      <c r="A41" s="389" t="s">
        <v>29</v>
      </c>
      <c r="B41" s="381" t="s">
        <v>134</v>
      </c>
      <c r="C41" s="198" t="s">
        <v>99</v>
      </c>
      <c r="D41" s="382" t="s">
        <v>101</v>
      </c>
      <c r="E41" s="136" t="s">
        <v>6</v>
      </c>
      <c r="F41" s="272" t="s">
        <v>168</v>
      </c>
      <c r="G41" s="126" t="s">
        <v>168</v>
      </c>
      <c r="H41" s="126" t="s">
        <v>168</v>
      </c>
      <c r="I41" s="160" t="s">
        <v>90</v>
      </c>
      <c r="J41" s="128" t="s">
        <v>168</v>
      </c>
      <c r="K41" s="391">
        <v>600</v>
      </c>
      <c r="L41" s="154">
        <f t="shared" si="7"/>
        <v>391300000</v>
      </c>
      <c r="M41" s="72">
        <f t="shared" si="7"/>
        <v>0</v>
      </c>
      <c r="N41" s="73">
        <f t="shared" si="7"/>
        <v>448280900</v>
      </c>
      <c r="O41" s="72">
        <f t="shared" si="7"/>
        <v>465306500</v>
      </c>
      <c r="P41" s="73">
        <f t="shared" si="7"/>
        <v>481619800</v>
      </c>
    </row>
    <row r="42" spans="1:16" ht="12.75">
      <c r="A42" s="389" t="s">
        <v>30</v>
      </c>
      <c r="B42" s="381" t="s">
        <v>134</v>
      </c>
      <c r="C42" s="198" t="s">
        <v>99</v>
      </c>
      <c r="D42" s="382" t="s">
        <v>101</v>
      </c>
      <c r="E42" s="136" t="s">
        <v>6</v>
      </c>
      <c r="F42" s="272" t="s">
        <v>168</v>
      </c>
      <c r="G42" s="126" t="s">
        <v>168</v>
      </c>
      <c r="H42" s="126" t="s">
        <v>168</v>
      </c>
      <c r="I42" s="160" t="s">
        <v>90</v>
      </c>
      <c r="J42" s="128" t="s">
        <v>168</v>
      </c>
      <c r="K42" s="391" t="s">
        <v>31</v>
      </c>
      <c r="L42" s="154">
        <f>386000000+5300000</f>
        <v>391300000</v>
      </c>
      <c r="M42" s="72">
        <v>0</v>
      </c>
      <c r="N42" s="73">
        <v>448280900</v>
      </c>
      <c r="O42" s="72">
        <v>465306500</v>
      </c>
      <c r="P42" s="73">
        <v>481619800</v>
      </c>
    </row>
    <row r="43" spans="1:16" ht="12.75">
      <c r="A43" s="389" t="s">
        <v>162</v>
      </c>
      <c r="B43" s="381" t="s">
        <v>134</v>
      </c>
      <c r="C43" s="198" t="s">
        <v>99</v>
      </c>
      <c r="D43" s="382" t="s">
        <v>101</v>
      </c>
      <c r="E43" s="126" t="s">
        <v>6</v>
      </c>
      <c r="F43" s="126" t="s">
        <v>168</v>
      </c>
      <c r="G43" s="126" t="s">
        <v>168</v>
      </c>
      <c r="H43" s="126" t="s">
        <v>168</v>
      </c>
      <c r="I43" s="126" t="s">
        <v>5</v>
      </c>
      <c r="J43" s="128" t="s">
        <v>168</v>
      </c>
      <c r="K43" s="390"/>
      <c r="L43" s="154">
        <f aca="true" t="shared" si="8" ref="L43:P44">L44</f>
        <v>6401169</v>
      </c>
      <c r="M43" s="72">
        <f t="shared" si="8"/>
        <v>0</v>
      </c>
      <c r="N43" s="73">
        <f t="shared" si="8"/>
        <v>216400</v>
      </c>
      <c r="O43" s="72">
        <f t="shared" si="8"/>
        <v>203100</v>
      </c>
      <c r="P43" s="73">
        <f t="shared" si="8"/>
        <v>203100</v>
      </c>
    </row>
    <row r="44" spans="1:16" ht="25.5">
      <c r="A44" s="389" t="s">
        <v>29</v>
      </c>
      <c r="B44" s="381" t="s">
        <v>134</v>
      </c>
      <c r="C44" s="198" t="s">
        <v>99</v>
      </c>
      <c r="D44" s="382" t="s">
        <v>101</v>
      </c>
      <c r="E44" s="126" t="s">
        <v>6</v>
      </c>
      <c r="F44" s="125" t="s">
        <v>168</v>
      </c>
      <c r="G44" s="126" t="s">
        <v>168</v>
      </c>
      <c r="H44" s="126" t="s">
        <v>168</v>
      </c>
      <c r="I44" s="127" t="s">
        <v>5</v>
      </c>
      <c r="J44" s="128" t="s">
        <v>168</v>
      </c>
      <c r="K44" s="391">
        <v>600</v>
      </c>
      <c r="L44" s="154">
        <f t="shared" si="8"/>
        <v>6401169</v>
      </c>
      <c r="M44" s="72">
        <f t="shared" si="8"/>
        <v>0</v>
      </c>
      <c r="N44" s="73">
        <f t="shared" si="8"/>
        <v>216400</v>
      </c>
      <c r="O44" s="72">
        <f t="shared" si="8"/>
        <v>203100</v>
      </c>
      <c r="P44" s="73">
        <f t="shared" si="8"/>
        <v>203100</v>
      </c>
    </row>
    <row r="45" spans="1:16" ht="12.75">
      <c r="A45" s="389" t="s">
        <v>30</v>
      </c>
      <c r="B45" s="381" t="s">
        <v>134</v>
      </c>
      <c r="C45" s="198" t="s">
        <v>99</v>
      </c>
      <c r="D45" s="382" t="s">
        <v>101</v>
      </c>
      <c r="E45" s="126" t="s">
        <v>6</v>
      </c>
      <c r="F45" s="125" t="s">
        <v>168</v>
      </c>
      <c r="G45" s="126" t="s">
        <v>168</v>
      </c>
      <c r="H45" s="126" t="s">
        <v>168</v>
      </c>
      <c r="I45" s="127" t="s">
        <v>5</v>
      </c>
      <c r="J45" s="128" t="s">
        <v>168</v>
      </c>
      <c r="K45" s="391" t="s">
        <v>31</v>
      </c>
      <c r="L45" s="154">
        <f>120000+39400+71926+2724343+3445500</f>
        <v>6401169</v>
      </c>
      <c r="M45" s="72">
        <v>0</v>
      </c>
      <c r="N45" s="73">
        <f>120000+39400+57000</f>
        <v>216400</v>
      </c>
      <c r="O45" s="72">
        <f>120000+39400+43700</f>
        <v>203100</v>
      </c>
      <c r="P45" s="73">
        <f>120000+39400+43700</f>
        <v>203100</v>
      </c>
    </row>
    <row r="46" spans="1:16" s="386" customFormat="1" ht="25.5">
      <c r="A46" s="389" t="s">
        <v>180</v>
      </c>
      <c r="B46" s="381" t="s">
        <v>134</v>
      </c>
      <c r="C46" s="198" t="s">
        <v>99</v>
      </c>
      <c r="D46" s="382" t="s">
        <v>101</v>
      </c>
      <c r="E46" s="136" t="s">
        <v>6</v>
      </c>
      <c r="F46" s="272" t="s">
        <v>168</v>
      </c>
      <c r="G46" s="126" t="s">
        <v>168</v>
      </c>
      <c r="H46" s="126" t="s">
        <v>168</v>
      </c>
      <c r="I46" s="160" t="s">
        <v>181</v>
      </c>
      <c r="J46" s="128" t="s">
        <v>168</v>
      </c>
      <c r="K46" s="391"/>
      <c r="L46" s="154">
        <f aca="true" t="shared" si="9" ref="L46:P47">L47</f>
        <v>216164874</v>
      </c>
      <c r="M46" s="72">
        <f t="shared" si="9"/>
        <v>0</v>
      </c>
      <c r="N46" s="73">
        <f t="shared" si="9"/>
        <v>236462700</v>
      </c>
      <c r="O46" s="72">
        <f t="shared" si="9"/>
        <v>233560400</v>
      </c>
      <c r="P46" s="73">
        <f t="shared" si="9"/>
        <v>232781800</v>
      </c>
    </row>
    <row r="47" spans="1:16" s="386" customFormat="1" ht="25.5">
      <c r="A47" s="389" t="s">
        <v>29</v>
      </c>
      <c r="B47" s="381" t="s">
        <v>134</v>
      </c>
      <c r="C47" s="198" t="s">
        <v>99</v>
      </c>
      <c r="D47" s="382" t="s">
        <v>101</v>
      </c>
      <c r="E47" s="126" t="s">
        <v>6</v>
      </c>
      <c r="F47" s="125" t="s">
        <v>168</v>
      </c>
      <c r="G47" s="126" t="s">
        <v>168</v>
      </c>
      <c r="H47" s="126" t="s">
        <v>168</v>
      </c>
      <c r="I47" s="127" t="s">
        <v>181</v>
      </c>
      <c r="J47" s="128" t="s">
        <v>168</v>
      </c>
      <c r="K47" s="391">
        <v>600</v>
      </c>
      <c r="L47" s="154">
        <f t="shared" si="9"/>
        <v>216164874</v>
      </c>
      <c r="M47" s="72">
        <f t="shared" si="9"/>
        <v>0</v>
      </c>
      <c r="N47" s="73">
        <f t="shared" si="9"/>
        <v>236462700</v>
      </c>
      <c r="O47" s="72">
        <f t="shared" si="9"/>
        <v>233560400</v>
      </c>
      <c r="P47" s="73">
        <f t="shared" si="9"/>
        <v>232781800</v>
      </c>
    </row>
    <row r="48" spans="1:18" s="386" customFormat="1" ht="12.75">
      <c r="A48" s="389" t="s">
        <v>30</v>
      </c>
      <c r="B48" s="381" t="s">
        <v>134</v>
      </c>
      <c r="C48" s="198" t="s">
        <v>99</v>
      </c>
      <c r="D48" s="382" t="s">
        <v>101</v>
      </c>
      <c r="E48" s="126" t="s">
        <v>6</v>
      </c>
      <c r="F48" s="125" t="s">
        <v>168</v>
      </c>
      <c r="G48" s="126" t="s">
        <v>168</v>
      </c>
      <c r="H48" s="126" t="s">
        <v>168</v>
      </c>
      <c r="I48" s="127" t="s">
        <v>181</v>
      </c>
      <c r="J48" s="128" t="s">
        <v>168</v>
      </c>
      <c r="K48" s="391" t="s">
        <v>31</v>
      </c>
      <c r="L48" s="154">
        <v>216164874</v>
      </c>
      <c r="M48" s="72">
        <v>0</v>
      </c>
      <c r="N48" s="73">
        <v>236462700</v>
      </c>
      <c r="O48" s="72">
        <v>233560400</v>
      </c>
      <c r="P48" s="73">
        <v>232781800</v>
      </c>
      <c r="Q48" s="392"/>
      <c r="R48" s="392"/>
    </row>
    <row r="49" spans="1:16" s="386" customFormat="1" ht="38.25" customHeight="1">
      <c r="A49" s="380" t="s">
        <v>381</v>
      </c>
      <c r="B49" s="381" t="s">
        <v>134</v>
      </c>
      <c r="C49" s="198" t="s">
        <v>99</v>
      </c>
      <c r="D49" s="382" t="s">
        <v>101</v>
      </c>
      <c r="E49" s="126" t="s">
        <v>6</v>
      </c>
      <c r="F49" s="125" t="s">
        <v>168</v>
      </c>
      <c r="G49" s="126" t="s">
        <v>168</v>
      </c>
      <c r="H49" s="126" t="s">
        <v>168</v>
      </c>
      <c r="I49" s="127" t="s">
        <v>287</v>
      </c>
      <c r="J49" s="128" t="s">
        <v>168</v>
      </c>
      <c r="K49" s="391"/>
      <c r="L49" s="279">
        <f aca="true" t="shared" si="10" ref="L49:P50">L50</f>
        <v>216000</v>
      </c>
      <c r="M49" s="387">
        <f t="shared" si="10"/>
        <v>0</v>
      </c>
      <c r="N49" s="388">
        <f t="shared" si="10"/>
        <v>223000</v>
      </c>
      <c r="O49" s="387">
        <f t="shared" si="10"/>
        <v>223000</v>
      </c>
      <c r="P49" s="388">
        <f t="shared" si="10"/>
        <v>223000</v>
      </c>
    </row>
    <row r="50" spans="1:18" s="386" customFormat="1" ht="25.5">
      <c r="A50" s="389" t="s">
        <v>29</v>
      </c>
      <c r="B50" s="381" t="s">
        <v>134</v>
      </c>
      <c r="C50" s="198" t="s">
        <v>99</v>
      </c>
      <c r="D50" s="382" t="s">
        <v>101</v>
      </c>
      <c r="E50" s="126" t="s">
        <v>6</v>
      </c>
      <c r="F50" s="125" t="s">
        <v>168</v>
      </c>
      <c r="G50" s="126" t="s">
        <v>168</v>
      </c>
      <c r="H50" s="126" t="s">
        <v>168</v>
      </c>
      <c r="I50" s="127" t="s">
        <v>287</v>
      </c>
      <c r="J50" s="128" t="s">
        <v>168</v>
      </c>
      <c r="K50" s="391" t="s">
        <v>182</v>
      </c>
      <c r="L50" s="279">
        <f t="shared" si="10"/>
        <v>216000</v>
      </c>
      <c r="M50" s="387">
        <f t="shared" si="10"/>
        <v>0</v>
      </c>
      <c r="N50" s="388">
        <f t="shared" si="10"/>
        <v>223000</v>
      </c>
      <c r="O50" s="387">
        <f t="shared" si="10"/>
        <v>223000</v>
      </c>
      <c r="P50" s="388">
        <f t="shared" si="10"/>
        <v>223000</v>
      </c>
      <c r="Q50" s="392"/>
      <c r="R50" s="392"/>
    </row>
    <row r="51" spans="1:16" s="386" customFormat="1" ht="12.75">
      <c r="A51" s="389" t="s">
        <v>30</v>
      </c>
      <c r="B51" s="381" t="s">
        <v>134</v>
      </c>
      <c r="C51" s="198" t="s">
        <v>99</v>
      </c>
      <c r="D51" s="382" t="s">
        <v>101</v>
      </c>
      <c r="E51" s="126" t="s">
        <v>6</v>
      </c>
      <c r="F51" s="125" t="s">
        <v>168</v>
      </c>
      <c r="G51" s="126" t="s">
        <v>168</v>
      </c>
      <c r="H51" s="126" t="s">
        <v>168</v>
      </c>
      <c r="I51" s="127" t="s">
        <v>287</v>
      </c>
      <c r="J51" s="128" t="s">
        <v>168</v>
      </c>
      <c r="K51" s="391" t="s">
        <v>31</v>
      </c>
      <c r="L51" s="279">
        <v>216000</v>
      </c>
      <c r="M51" s="387">
        <v>0</v>
      </c>
      <c r="N51" s="388">
        <v>223000</v>
      </c>
      <c r="O51" s="387">
        <v>223000</v>
      </c>
      <c r="P51" s="388">
        <v>223000</v>
      </c>
    </row>
    <row r="52" spans="1:16" s="386" customFormat="1" ht="51">
      <c r="A52" s="389" t="s">
        <v>311</v>
      </c>
      <c r="B52" s="381" t="s">
        <v>134</v>
      </c>
      <c r="C52" s="198" t="s">
        <v>99</v>
      </c>
      <c r="D52" s="382" t="s">
        <v>101</v>
      </c>
      <c r="E52" s="126" t="s">
        <v>6</v>
      </c>
      <c r="F52" s="125" t="s">
        <v>168</v>
      </c>
      <c r="G52" s="126" t="s">
        <v>168</v>
      </c>
      <c r="H52" s="126" t="s">
        <v>168</v>
      </c>
      <c r="I52" s="127" t="s">
        <v>285</v>
      </c>
      <c r="J52" s="128" t="s">
        <v>166</v>
      </c>
      <c r="K52" s="391"/>
      <c r="L52" s="154">
        <f aca="true" t="shared" si="11" ref="L52:P53">L53</f>
        <v>10533133.85</v>
      </c>
      <c r="M52" s="72">
        <f t="shared" si="11"/>
        <v>0</v>
      </c>
      <c r="N52" s="73">
        <f t="shared" si="11"/>
        <v>10065005.83</v>
      </c>
      <c r="O52" s="72">
        <f t="shared" si="11"/>
        <v>9888486.22</v>
      </c>
      <c r="P52" s="73">
        <f t="shared" si="11"/>
        <v>9629151.95</v>
      </c>
    </row>
    <row r="53" spans="1:16" s="386" customFormat="1" ht="25.5">
      <c r="A53" s="389" t="s">
        <v>29</v>
      </c>
      <c r="B53" s="381" t="s">
        <v>134</v>
      </c>
      <c r="C53" s="198" t="s">
        <v>99</v>
      </c>
      <c r="D53" s="382" t="s">
        <v>101</v>
      </c>
      <c r="E53" s="126" t="s">
        <v>6</v>
      </c>
      <c r="F53" s="125" t="s">
        <v>168</v>
      </c>
      <c r="G53" s="126" t="s">
        <v>168</v>
      </c>
      <c r="H53" s="126" t="s">
        <v>168</v>
      </c>
      <c r="I53" s="127" t="s">
        <v>285</v>
      </c>
      <c r="J53" s="128" t="s">
        <v>166</v>
      </c>
      <c r="K53" s="391" t="s">
        <v>182</v>
      </c>
      <c r="L53" s="154">
        <f t="shared" si="11"/>
        <v>10533133.85</v>
      </c>
      <c r="M53" s="72">
        <f t="shared" si="11"/>
        <v>0</v>
      </c>
      <c r="N53" s="73">
        <f t="shared" si="11"/>
        <v>10065005.83</v>
      </c>
      <c r="O53" s="72">
        <f t="shared" si="11"/>
        <v>9888486.22</v>
      </c>
      <c r="P53" s="73">
        <f t="shared" si="11"/>
        <v>9629151.95</v>
      </c>
    </row>
    <row r="54" spans="1:16" s="386" customFormat="1" ht="12.75">
      <c r="A54" s="389" t="s">
        <v>30</v>
      </c>
      <c r="B54" s="381" t="s">
        <v>134</v>
      </c>
      <c r="C54" s="198" t="s">
        <v>99</v>
      </c>
      <c r="D54" s="382" t="s">
        <v>101</v>
      </c>
      <c r="E54" s="126" t="s">
        <v>6</v>
      </c>
      <c r="F54" s="125" t="s">
        <v>168</v>
      </c>
      <c r="G54" s="126" t="s">
        <v>168</v>
      </c>
      <c r="H54" s="126" t="s">
        <v>168</v>
      </c>
      <c r="I54" s="127" t="s">
        <v>285</v>
      </c>
      <c r="J54" s="128" t="s">
        <v>166</v>
      </c>
      <c r="K54" s="391" t="s">
        <v>31</v>
      </c>
      <c r="L54" s="154">
        <f>10483133.85+50000</f>
        <v>10533133.85</v>
      </c>
      <c r="M54" s="72">
        <v>0</v>
      </c>
      <c r="N54" s="73">
        <f>10015005.83+50000</f>
        <v>10065005.83</v>
      </c>
      <c r="O54" s="72">
        <f>9838486.22+50000</f>
        <v>9888486.22</v>
      </c>
      <c r="P54" s="73">
        <f>9579151.95+50000</f>
        <v>9629151.95</v>
      </c>
    </row>
    <row r="55" spans="1:16" s="386" customFormat="1" ht="63.75">
      <c r="A55" s="395" t="s">
        <v>315</v>
      </c>
      <c r="B55" s="381" t="s">
        <v>134</v>
      </c>
      <c r="C55" s="198" t="s">
        <v>99</v>
      </c>
      <c r="D55" s="382" t="s">
        <v>101</v>
      </c>
      <c r="E55" s="136" t="s">
        <v>6</v>
      </c>
      <c r="F55" s="126" t="s">
        <v>168</v>
      </c>
      <c r="G55" s="126" t="s">
        <v>168</v>
      </c>
      <c r="H55" s="126" t="s">
        <v>168</v>
      </c>
      <c r="I55" s="160" t="s">
        <v>310</v>
      </c>
      <c r="J55" s="128" t="s">
        <v>168</v>
      </c>
      <c r="K55" s="390"/>
      <c r="L55" s="154">
        <f aca="true" t="shared" si="12" ref="L55:P56">L56</f>
        <v>1208888</v>
      </c>
      <c r="M55" s="72">
        <f t="shared" si="12"/>
        <v>0</v>
      </c>
      <c r="N55" s="73">
        <f t="shared" si="12"/>
        <v>1202312</v>
      </c>
      <c r="O55" s="72">
        <f t="shared" si="12"/>
        <v>1202312</v>
      </c>
      <c r="P55" s="73">
        <f t="shared" si="12"/>
        <v>1202312</v>
      </c>
    </row>
    <row r="56" spans="1:16" s="386" customFormat="1" ht="25.5">
      <c r="A56" s="389" t="s">
        <v>29</v>
      </c>
      <c r="B56" s="381" t="s">
        <v>134</v>
      </c>
      <c r="C56" s="198" t="s">
        <v>99</v>
      </c>
      <c r="D56" s="382" t="s">
        <v>101</v>
      </c>
      <c r="E56" s="136" t="s">
        <v>6</v>
      </c>
      <c r="F56" s="126" t="s">
        <v>168</v>
      </c>
      <c r="G56" s="126" t="s">
        <v>168</v>
      </c>
      <c r="H56" s="126" t="s">
        <v>168</v>
      </c>
      <c r="I56" s="160" t="s">
        <v>310</v>
      </c>
      <c r="J56" s="128" t="s">
        <v>168</v>
      </c>
      <c r="K56" s="390" t="s">
        <v>182</v>
      </c>
      <c r="L56" s="154">
        <f t="shared" si="12"/>
        <v>1208888</v>
      </c>
      <c r="M56" s="72">
        <f t="shared" si="12"/>
        <v>0</v>
      </c>
      <c r="N56" s="73">
        <f t="shared" si="12"/>
        <v>1202312</v>
      </c>
      <c r="O56" s="72">
        <f t="shared" si="12"/>
        <v>1202312</v>
      </c>
      <c r="P56" s="73">
        <f t="shared" si="12"/>
        <v>1202312</v>
      </c>
    </row>
    <row r="57" spans="1:16" s="386" customFormat="1" ht="12.75">
      <c r="A57" s="389" t="s">
        <v>30</v>
      </c>
      <c r="B57" s="381" t="s">
        <v>134</v>
      </c>
      <c r="C57" s="198" t="s">
        <v>99</v>
      </c>
      <c r="D57" s="382" t="s">
        <v>101</v>
      </c>
      <c r="E57" s="136" t="s">
        <v>6</v>
      </c>
      <c r="F57" s="126" t="s">
        <v>168</v>
      </c>
      <c r="G57" s="126" t="s">
        <v>168</v>
      </c>
      <c r="H57" s="126" t="s">
        <v>168</v>
      </c>
      <c r="I57" s="160" t="s">
        <v>310</v>
      </c>
      <c r="J57" s="128" t="s">
        <v>168</v>
      </c>
      <c r="K57" s="390" t="s">
        <v>31</v>
      </c>
      <c r="L57" s="154">
        <f>604444+604444</f>
        <v>1208888</v>
      </c>
      <c r="M57" s="72">
        <v>0</v>
      </c>
      <c r="N57" s="73">
        <f>601156+601156</f>
        <v>1202312</v>
      </c>
      <c r="O57" s="72">
        <f>601156+601156</f>
        <v>1202312</v>
      </c>
      <c r="P57" s="73">
        <f>601156+601156</f>
        <v>1202312</v>
      </c>
    </row>
    <row r="58" spans="1:16" s="386" customFormat="1" ht="54.75" customHeight="1">
      <c r="A58" s="395" t="s">
        <v>248</v>
      </c>
      <c r="B58" s="381" t="s">
        <v>134</v>
      </c>
      <c r="C58" s="198" t="s">
        <v>99</v>
      </c>
      <c r="D58" s="382" t="s">
        <v>101</v>
      </c>
      <c r="E58" s="136" t="s">
        <v>6</v>
      </c>
      <c r="F58" s="126" t="s">
        <v>168</v>
      </c>
      <c r="G58" s="126" t="s">
        <v>168</v>
      </c>
      <c r="H58" s="126" t="s">
        <v>168</v>
      </c>
      <c r="I58" s="160" t="s">
        <v>205</v>
      </c>
      <c r="J58" s="128" t="s">
        <v>168</v>
      </c>
      <c r="K58" s="390"/>
      <c r="L58" s="279">
        <f aca="true" t="shared" si="13" ref="L58:P59">L59</f>
        <v>297000</v>
      </c>
      <c r="M58" s="387">
        <f t="shared" si="13"/>
        <v>0</v>
      </c>
      <c r="N58" s="388">
        <f t="shared" si="13"/>
        <v>363520</v>
      </c>
      <c r="O58" s="387">
        <f t="shared" si="13"/>
        <v>378120</v>
      </c>
      <c r="P58" s="388">
        <f t="shared" si="13"/>
        <v>393240</v>
      </c>
    </row>
    <row r="59" spans="1:16" s="386" customFormat="1" ht="25.5">
      <c r="A59" s="389" t="s">
        <v>29</v>
      </c>
      <c r="B59" s="381" t="s">
        <v>134</v>
      </c>
      <c r="C59" s="198" t="s">
        <v>99</v>
      </c>
      <c r="D59" s="382" t="s">
        <v>101</v>
      </c>
      <c r="E59" s="136" t="s">
        <v>6</v>
      </c>
      <c r="F59" s="126" t="s">
        <v>168</v>
      </c>
      <c r="G59" s="126" t="s">
        <v>168</v>
      </c>
      <c r="H59" s="126" t="s">
        <v>168</v>
      </c>
      <c r="I59" s="160" t="s">
        <v>205</v>
      </c>
      <c r="J59" s="128" t="s">
        <v>168</v>
      </c>
      <c r="K59" s="390" t="s">
        <v>182</v>
      </c>
      <c r="L59" s="279">
        <f t="shared" si="13"/>
        <v>297000</v>
      </c>
      <c r="M59" s="387">
        <f t="shared" si="13"/>
        <v>0</v>
      </c>
      <c r="N59" s="388">
        <f t="shared" si="13"/>
        <v>363520</v>
      </c>
      <c r="O59" s="387">
        <f t="shared" si="13"/>
        <v>378120</v>
      </c>
      <c r="P59" s="388">
        <f t="shared" si="13"/>
        <v>393240</v>
      </c>
    </row>
    <row r="60" spans="1:16" s="386" customFormat="1" ht="12.75">
      <c r="A60" s="389" t="s">
        <v>30</v>
      </c>
      <c r="B60" s="381" t="s">
        <v>134</v>
      </c>
      <c r="C60" s="198" t="s">
        <v>99</v>
      </c>
      <c r="D60" s="382" t="s">
        <v>101</v>
      </c>
      <c r="E60" s="136" t="s">
        <v>6</v>
      </c>
      <c r="F60" s="126" t="s">
        <v>168</v>
      </c>
      <c r="G60" s="126" t="s">
        <v>168</v>
      </c>
      <c r="H60" s="126" t="s">
        <v>168</v>
      </c>
      <c r="I60" s="160" t="s">
        <v>205</v>
      </c>
      <c r="J60" s="128" t="s">
        <v>168</v>
      </c>
      <c r="K60" s="390" t="s">
        <v>31</v>
      </c>
      <c r="L60" s="279">
        <f>148500+148500</f>
        <v>297000</v>
      </c>
      <c r="M60" s="387">
        <v>0</v>
      </c>
      <c r="N60" s="388">
        <f>181760+181760</f>
        <v>363520</v>
      </c>
      <c r="O60" s="387">
        <f>189060+189060</f>
        <v>378120</v>
      </c>
      <c r="P60" s="388">
        <f>196620+196620</f>
        <v>393240</v>
      </c>
    </row>
    <row r="61" spans="1:16" s="386" customFormat="1" ht="12.75">
      <c r="A61" s="389" t="s">
        <v>222</v>
      </c>
      <c r="B61" s="381" t="s">
        <v>134</v>
      </c>
      <c r="C61" s="198" t="s">
        <v>99</v>
      </c>
      <c r="D61" s="382" t="s">
        <v>97</v>
      </c>
      <c r="E61" s="136"/>
      <c r="F61" s="126"/>
      <c r="G61" s="126"/>
      <c r="H61" s="126"/>
      <c r="I61" s="160"/>
      <c r="J61" s="128"/>
      <c r="K61" s="390"/>
      <c r="L61" s="279"/>
      <c r="M61" s="387"/>
      <c r="N61" s="388">
        <f>N62</f>
        <v>34641000</v>
      </c>
      <c r="O61" s="387">
        <f>O62</f>
        <v>35509200</v>
      </c>
      <c r="P61" s="388">
        <f>P62</f>
        <v>36487800</v>
      </c>
    </row>
    <row r="62" spans="1:16" s="386" customFormat="1" ht="25.5">
      <c r="A62" s="389" t="s">
        <v>372</v>
      </c>
      <c r="B62" s="381" t="s">
        <v>134</v>
      </c>
      <c r="C62" s="198" t="s">
        <v>99</v>
      </c>
      <c r="D62" s="382" t="s">
        <v>97</v>
      </c>
      <c r="E62" s="126" t="s">
        <v>6</v>
      </c>
      <c r="F62" s="126" t="s">
        <v>168</v>
      </c>
      <c r="G62" s="126" t="s">
        <v>168</v>
      </c>
      <c r="H62" s="126" t="s">
        <v>168</v>
      </c>
      <c r="I62" s="126" t="s">
        <v>169</v>
      </c>
      <c r="J62" s="128" t="s">
        <v>168</v>
      </c>
      <c r="K62" s="391"/>
      <c r="L62" s="154">
        <f>L69+L66+L63+L75+L72</f>
        <v>32277500</v>
      </c>
      <c r="M62" s="72">
        <f>M69+M66+M63+M75+M72</f>
        <v>0</v>
      </c>
      <c r="N62" s="73">
        <f>N69+N66+N63+N75+N72</f>
        <v>34641000</v>
      </c>
      <c r="O62" s="72">
        <f>O69+O66+O63+O75+O72</f>
        <v>35509200</v>
      </c>
      <c r="P62" s="73">
        <f>P69+P66+P63+P75+P72</f>
        <v>36487800</v>
      </c>
    </row>
    <row r="63" spans="1:16" s="386" customFormat="1" ht="67.5" customHeight="1">
      <c r="A63" s="380" t="s">
        <v>234</v>
      </c>
      <c r="B63" s="381" t="s">
        <v>134</v>
      </c>
      <c r="C63" s="198" t="s">
        <v>99</v>
      </c>
      <c r="D63" s="382" t="s">
        <v>97</v>
      </c>
      <c r="E63" s="126" t="s">
        <v>6</v>
      </c>
      <c r="F63" s="125" t="s">
        <v>168</v>
      </c>
      <c r="G63" s="126" t="s">
        <v>168</v>
      </c>
      <c r="H63" s="126" t="s">
        <v>168</v>
      </c>
      <c r="I63" s="127" t="s">
        <v>235</v>
      </c>
      <c r="J63" s="128" t="s">
        <v>168</v>
      </c>
      <c r="K63" s="391"/>
      <c r="L63" s="154">
        <f aca="true" t="shared" si="14" ref="L63:P64">L64</f>
        <v>1500000</v>
      </c>
      <c r="M63" s="72">
        <f t="shared" si="14"/>
        <v>0</v>
      </c>
      <c r="N63" s="73">
        <f t="shared" si="14"/>
        <v>1700000</v>
      </c>
      <c r="O63" s="72">
        <f t="shared" si="14"/>
        <v>1800000</v>
      </c>
      <c r="P63" s="73">
        <f t="shared" si="14"/>
        <v>2000000</v>
      </c>
    </row>
    <row r="64" spans="1:16" s="386" customFormat="1" ht="27" customHeight="1">
      <c r="A64" s="389" t="s">
        <v>29</v>
      </c>
      <c r="B64" s="381" t="s">
        <v>134</v>
      </c>
      <c r="C64" s="198" t="s">
        <v>99</v>
      </c>
      <c r="D64" s="382" t="s">
        <v>97</v>
      </c>
      <c r="E64" s="126" t="s">
        <v>6</v>
      </c>
      <c r="F64" s="125" t="s">
        <v>168</v>
      </c>
      <c r="G64" s="126" t="s">
        <v>168</v>
      </c>
      <c r="H64" s="126" t="s">
        <v>168</v>
      </c>
      <c r="I64" s="127" t="s">
        <v>235</v>
      </c>
      <c r="J64" s="128" t="s">
        <v>168</v>
      </c>
      <c r="K64" s="391" t="s">
        <v>182</v>
      </c>
      <c r="L64" s="154">
        <f t="shared" si="14"/>
        <v>1500000</v>
      </c>
      <c r="M64" s="72">
        <f t="shared" si="14"/>
        <v>0</v>
      </c>
      <c r="N64" s="73">
        <f t="shared" si="14"/>
        <v>1700000</v>
      </c>
      <c r="O64" s="72">
        <f t="shared" si="14"/>
        <v>1800000</v>
      </c>
      <c r="P64" s="73">
        <f t="shared" si="14"/>
        <v>2000000</v>
      </c>
    </row>
    <row r="65" spans="1:16" s="386" customFormat="1" ht="27" customHeight="1">
      <c r="A65" s="389" t="s">
        <v>30</v>
      </c>
      <c r="B65" s="381" t="s">
        <v>134</v>
      </c>
      <c r="C65" s="198" t="s">
        <v>99</v>
      </c>
      <c r="D65" s="382" t="s">
        <v>97</v>
      </c>
      <c r="E65" s="126" t="s">
        <v>6</v>
      </c>
      <c r="F65" s="125" t="s">
        <v>168</v>
      </c>
      <c r="G65" s="126" t="s">
        <v>168</v>
      </c>
      <c r="H65" s="126" t="s">
        <v>168</v>
      </c>
      <c r="I65" s="127" t="s">
        <v>235</v>
      </c>
      <c r="J65" s="128" t="s">
        <v>168</v>
      </c>
      <c r="K65" s="391" t="s">
        <v>31</v>
      </c>
      <c r="L65" s="154">
        <v>1500000</v>
      </c>
      <c r="M65" s="72">
        <v>0</v>
      </c>
      <c r="N65" s="73">
        <v>1700000</v>
      </c>
      <c r="O65" s="72">
        <v>1800000</v>
      </c>
      <c r="P65" s="73">
        <v>2000000</v>
      </c>
    </row>
    <row r="66" spans="1:16" s="386" customFormat="1" ht="12.75">
      <c r="A66" s="389" t="s">
        <v>162</v>
      </c>
      <c r="B66" s="381" t="s">
        <v>134</v>
      </c>
      <c r="C66" s="198" t="s">
        <v>99</v>
      </c>
      <c r="D66" s="382" t="s">
        <v>97</v>
      </c>
      <c r="E66" s="126" t="s">
        <v>6</v>
      </c>
      <c r="F66" s="126" t="s">
        <v>168</v>
      </c>
      <c r="G66" s="126" t="s">
        <v>168</v>
      </c>
      <c r="H66" s="126" t="s">
        <v>168</v>
      </c>
      <c r="I66" s="126" t="s">
        <v>5</v>
      </c>
      <c r="J66" s="128" t="s">
        <v>168</v>
      </c>
      <c r="K66" s="390"/>
      <c r="L66" s="154">
        <f aca="true" t="shared" si="15" ref="L66:P67">L67</f>
        <v>1629100</v>
      </c>
      <c r="M66" s="72">
        <f t="shared" si="15"/>
        <v>0</v>
      </c>
      <c r="N66" s="73">
        <f t="shared" si="15"/>
        <v>1629100</v>
      </c>
      <c r="O66" s="72">
        <f t="shared" si="15"/>
        <v>1629100</v>
      </c>
      <c r="P66" s="73">
        <f t="shared" si="15"/>
        <v>1629100</v>
      </c>
    </row>
    <row r="67" spans="1:16" s="386" customFormat="1" ht="25.5">
      <c r="A67" s="389" t="s">
        <v>29</v>
      </c>
      <c r="B67" s="381" t="s">
        <v>134</v>
      </c>
      <c r="C67" s="198" t="s">
        <v>99</v>
      </c>
      <c r="D67" s="382" t="s">
        <v>97</v>
      </c>
      <c r="E67" s="126" t="s">
        <v>6</v>
      </c>
      <c r="F67" s="125" t="s">
        <v>168</v>
      </c>
      <c r="G67" s="126" t="s">
        <v>168</v>
      </c>
      <c r="H67" s="126" t="s">
        <v>168</v>
      </c>
      <c r="I67" s="127" t="s">
        <v>5</v>
      </c>
      <c r="J67" s="128" t="s">
        <v>168</v>
      </c>
      <c r="K67" s="391">
        <v>600</v>
      </c>
      <c r="L67" s="154">
        <f t="shared" si="15"/>
        <v>1629100</v>
      </c>
      <c r="M67" s="72">
        <f t="shared" si="15"/>
        <v>0</v>
      </c>
      <c r="N67" s="73">
        <f t="shared" si="15"/>
        <v>1629100</v>
      </c>
      <c r="O67" s="72">
        <f t="shared" si="15"/>
        <v>1629100</v>
      </c>
      <c r="P67" s="73">
        <f t="shared" si="15"/>
        <v>1629100</v>
      </c>
    </row>
    <row r="68" spans="1:16" s="386" customFormat="1" ht="12.75">
      <c r="A68" s="389" t="s">
        <v>30</v>
      </c>
      <c r="B68" s="381" t="s">
        <v>134</v>
      </c>
      <c r="C68" s="198" t="s">
        <v>99</v>
      </c>
      <c r="D68" s="382" t="s">
        <v>97</v>
      </c>
      <c r="E68" s="126" t="s">
        <v>6</v>
      </c>
      <c r="F68" s="125" t="s">
        <v>168</v>
      </c>
      <c r="G68" s="126" t="s">
        <v>168</v>
      </c>
      <c r="H68" s="126" t="s">
        <v>168</v>
      </c>
      <c r="I68" s="127" t="s">
        <v>5</v>
      </c>
      <c r="J68" s="128" t="s">
        <v>168</v>
      </c>
      <c r="K68" s="391" t="s">
        <v>31</v>
      </c>
      <c r="L68" s="154">
        <f>635000+20000+954100+20000</f>
        <v>1629100</v>
      </c>
      <c r="M68" s="72">
        <v>0</v>
      </c>
      <c r="N68" s="73">
        <f>635000+20000+954100+20000</f>
        <v>1629100</v>
      </c>
      <c r="O68" s="72">
        <f>635000+20000+954100+20000</f>
        <v>1629100</v>
      </c>
      <c r="P68" s="73">
        <f>635000+20000+954100+20000</f>
        <v>1629100</v>
      </c>
    </row>
    <row r="69" spans="1:16" s="386" customFormat="1" ht="25.5">
      <c r="A69" s="389" t="s">
        <v>183</v>
      </c>
      <c r="B69" s="381" t="s">
        <v>134</v>
      </c>
      <c r="C69" s="198" t="s">
        <v>99</v>
      </c>
      <c r="D69" s="382" t="s">
        <v>97</v>
      </c>
      <c r="E69" s="126" t="s">
        <v>6</v>
      </c>
      <c r="F69" s="125" t="s">
        <v>168</v>
      </c>
      <c r="G69" s="126" t="s">
        <v>168</v>
      </c>
      <c r="H69" s="126" t="s">
        <v>168</v>
      </c>
      <c r="I69" s="127" t="s">
        <v>184</v>
      </c>
      <c r="J69" s="128" t="s">
        <v>168</v>
      </c>
      <c r="K69" s="391"/>
      <c r="L69" s="154">
        <f aca="true" t="shared" si="16" ref="L69:P70">L70</f>
        <v>20952780</v>
      </c>
      <c r="M69" s="72">
        <f t="shared" si="16"/>
        <v>0</v>
      </c>
      <c r="N69" s="73">
        <f t="shared" si="16"/>
        <v>18313700</v>
      </c>
      <c r="O69" s="72">
        <f t="shared" si="16"/>
        <v>18313700</v>
      </c>
      <c r="P69" s="73">
        <f t="shared" si="16"/>
        <v>18313700</v>
      </c>
    </row>
    <row r="70" spans="1:16" s="386" customFormat="1" ht="25.5">
      <c r="A70" s="389" t="s">
        <v>29</v>
      </c>
      <c r="B70" s="381" t="s">
        <v>134</v>
      </c>
      <c r="C70" s="198" t="s">
        <v>99</v>
      </c>
      <c r="D70" s="382" t="s">
        <v>97</v>
      </c>
      <c r="E70" s="126" t="s">
        <v>6</v>
      </c>
      <c r="F70" s="125" t="s">
        <v>168</v>
      </c>
      <c r="G70" s="126" t="s">
        <v>168</v>
      </c>
      <c r="H70" s="126" t="s">
        <v>168</v>
      </c>
      <c r="I70" s="127" t="s">
        <v>184</v>
      </c>
      <c r="J70" s="128" t="s">
        <v>168</v>
      </c>
      <c r="K70" s="391">
        <v>600</v>
      </c>
      <c r="L70" s="154">
        <f t="shared" si="16"/>
        <v>20952780</v>
      </c>
      <c r="M70" s="72">
        <f t="shared" si="16"/>
        <v>0</v>
      </c>
      <c r="N70" s="73">
        <f t="shared" si="16"/>
        <v>18313700</v>
      </c>
      <c r="O70" s="72">
        <f t="shared" si="16"/>
        <v>18313700</v>
      </c>
      <c r="P70" s="73">
        <f t="shared" si="16"/>
        <v>18313700</v>
      </c>
    </row>
    <row r="71" spans="1:16" s="386" customFormat="1" ht="12.75">
      <c r="A71" s="389" t="s">
        <v>30</v>
      </c>
      <c r="B71" s="381" t="s">
        <v>134</v>
      </c>
      <c r="C71" s="198" t="s">
        <v>99</v>
      </c>
      <c r="D71" s="382" t="s">
        <v>97</v>
      </c>
      <c r="E71" s="126" t="s">
        <v>6</v>
      </c>
      <c r="F71" s="125" t="s">
        <v>168</v>
      </c>
      <c r="G71" s="126" t="s">
        <v>168</v>
      </c>
      <c r="H71" s="126" t="s">
        <v>168</v>
      </c>
      <c r="I71" s="127" t="s">
        <v>184</v>
      </c>
      <c r="J71" s="128" t="s">
        <v>168</v>
      </c>
      <c r="K71" s="391" t="s">
        <v>31</v>
      </c>
      <c r="L71" s="279">
        <v>20952780</v>
      </c>
      <c r="M71" s="387">
        <v>0</v>
      </c>
      <c r="N71" s="388">
        <v>18313700</v>
      </c>
      <c r="O71" s="387">
        <v>18313700</v>
      </c>
      <c r="P71" s="388">
        <v>18313700</v>
      </c>
    </row>
    <row r="72" spans="1:16" s="386" customFormat="1" ht="38.25">
      <c r="A72" s="380" t="s">
        <v>381</v>
      </c>
      <c r="B72" s="381" t="s">
        <v>134</v>
      </c>
      <c r="C72" s="198" t="s">
        <v>99</v>
      </c>
      <c r="D72" s="382" t="s">
        <v>97</v>
      </c>
      <c r="E72" s="126" t="s">
        <v>6</v>
      </c>
      <c r="F72" s="125" t="s">
        <v>168</v>
      </c>
      <c r="G72" s="126" t="s">
        <v>168</v>
      </c>
      <c r="H72" s="126" t="s">
        <v>168</v>
      </c>
      <c r="I72" s="127" t="s">
        <v>287</v>
      </c>
      <c r="J72" s="128" t="s">
        <v>168</v>
      </c>
      <c r="K72" s="391"/>
      <c r="L72" s="279">
        <f aca="true" t="shared" si="17" ref="L72:P73">L73</f>
        <v>15000</v>
      </c>
      <c r="M72" s="387">
        <f t="shared" si="17"/>
        <v>0</v>
      </c>
      <c r="N72" s="388">
        <f t="shared" si="17"/>
        <v>25000</v>
      </c>
      <c r="O72" s="387">
        <f t="shared" si="17"/>
        <v>25000</v>
      </c>
      <c r="P72" s="388">
        <f t="shared" si="17"/>
        <v>25000</v>
      </c>
    </row>
    <row r="73" spans="1:16" s="386" customFormat="1" ht="25.5">
      <c r="A73" s="389" t="s">
        <v>29</v>
      </c>
      <c r="B73" s="381" t="s">
        <v>134</v>
      </c>
      <c r="C73" s="198" t="s">
        <v>99</v>
      </c>
      <c r="D73" s="382" t="s">
        <v>97</v>
      </c>
      <c r="E73" s="126" t="s">
        <v>6</v>
      </c>
      <c r="F73" s="125" t="s">
        <v>168</v>
      </c>
      <c r="G73" s="126" t="s">
        <v>168</v>
      </c>
      <c r="H73" s="126" t="s">
        <v>168</v>
      </c>
      <c r="I73" s="127" t="s">
        <v>287</v>
      </c>
      <c r="J73" s="128" t="s">
        <v>168</v>
      </c>
      <c r="K73" s="391" t="s">
        <v>182</v>
      </c>
      <c r="L73" s="279">
        <f t="shared" si="17"/>
        <v>15000</v>
      </c>
      <c r="M73" s="387">
        <f t="shared" si="17"/>
        <v>0</v>
      </c>
      <c r="N73" s="388">
        <f t="shared" si="17"/>
        <v>25000</v>
      </c>
      <c r="O73" s="387">
        <f t="shared" si="17"/>
        <v>25000</v>
      </c>
      <c r="P73" s="388">
        <f t="shared" si="17"/>
        <v>25000</v>
      </c>
    </row>
    <row r="74" spans="1:16" s="386" customFormat="1" ht="12.75">
      <c r="A74" s="389" t="s">
        <v>30</v>
      </c>
      <c r="B74" s="381" t="s">
        <v>134</v>
      </c>
      <c r="C74" s="198" t="s">
        <v>99</v>
      </c>
      <c r="D74" s="382" t="s">
        <v>97</v>
      </c>
      <c r="E74" s="126" t="s">
        <v>6</v>
      </c>
      <c r="F74" s="125" t="s">
        <v>168</v>
      </c>
      <c r="G74" s="126" t="s">
        <v>168</v>
      </c>
      <c r="H74" s="126" t="s">
        <v>168</v>
      </c>
      <c r="I74" s="127" t="s">
        <v>287</v>
      </c>
      <c r="J74" s="128" t="s">
        <v>168</v>
      </c>
      <c r="K74" s="391" t="s">
        <v>31</v>
      </c>
      <c r="L74" s="279">
        <v>15000</v>
      </c>
      <c r="M74" s="387">
        <v>0</v>
      </c>
      <c r="N74" s="388">
        <v>25000</v>
      </c>
      <c r="O74" s="387">
        <v>25000</v>
      </c>
      <c r="P74" s="388">
        <v>25000</v>
      </c>
    </row>
    <row r="75" spans="1:16" s="386" customFormat="1" ht="38.25">
      <c r="A75" s="389" t="s">
        <v>300</v>
      </c>
      <c r="B75" s="381" t="s">
        <v>134</v>
      </c>
      <c r="C75" s="198" t="s">
        <v>99</v>
      </c>
      <c r="D75" s="382" t="s">
        <v>97</v>
      </c>
      <c r="E75" s="126" t="s">
        <v>6</v>
      </c>
      <c r="F75" s="125" t="s">
        <v>168</v>
      </c>
      <c r="G75" s="126" t="s">
        <v>168</v>
      </c>
      <c r="H75" s="126" t="s">
        <v>168</v>
      </c>
      <c r="I75" s="127" t="s">
        <v>281</v>
      </c>
      <c r="J75" s="128" t="s">
        <v>168</v>
      </c>
      <c r="K75" s="391"/>
      <c r="L75" s="279">
        <f>L76+L80</f>
        <v>8180620</v>
      </c>
      <c r="M75" s="387">
        <f>M76+M80</f>
        <v>0</v>
      </c>
      <c r="N75" s="388">
        <f>N76+N80</f>
        <v>12973200</v>
      </c>
      <c r="O75" s="387">
        <f>O76+O80</f>
        <v>13741400</v>
      </c>
      <c r="P75" s="388">
        <f>P76+P80</f>
        <v>14520000</v>
      </c>
    </row>
    <row r="76" spans="1:16" s="386" customFormat="1" ht="25.5">
      <c r="A76" s="389" t="s">
        <v>29</v>
      </c>
      <c r="B76" s="381" t="s">
        <v>134</v>
      </c>
      <c r="C76" s="198" t="s">
        <v>99</v>
      </c>
      <c r="D76" s="382" t="s">
        <v>97</v>
      </c>
      <c r="E76" s="126" t="s">
        <v>6</v>
      </c>
      <c r="F76" s="125" t="s">
        <v>168</v>
      </c>
      <c r="G76" s="126" t="s">
        <v>168</v>
      </c>
      <c r="H76" s="126" t="s">
        <v>168</v>
      </c>
      <c r="I76" s="127" t="s">
        <v>281</v>
      </c>
      <c r="J76" s="128" t="s">
        <v>168</v>
      </c>
      <c r="K76" s="391">
        <v>600</v>
      </c>
      <c r="L76" s="279">
        <f>L77+L78+L79</f>
        <v>8089646</v>
      </c>
      <c r="M76" s="387">
        <f>M77+M78+M79</f>
        <v>-0.08</v>
      </c>
      <c r="N76" s="388">
        <f>N77+N78+N79</f>
        <v>12692000</v>
      </c>
      <c r="O76" s="387">
        <f>O77+O78+O79</f>
        <v>13442100</v>
      </c>
      <c r="P76" s="388">
        <f>P77+P78+P79</f>
        <v>14203000</v>
      </c>
    </row>
    <row r="77" spans="1:16" s="386" customFormat="1" ht="12.75">
      <c r="A77" s="389" t="s">
        <v>30</v>
      </c>
      <c r="B77" s="381" t="s">
        <v>134</v>
      </c>
      <c r="C77" s="198" t="s">
        <v>99</v>
      </c>
      <c r="D77" s="382" t="s">
        <v>97</v>
      </c>
      <c r="E77" s="126" t="s">
        <v>6</v>
      </c>
      <c r="F77" s="125" t="s">
        <v>168</v>
      </c>
      <c r="G77" s="126" t="s">
        <v>168</v>
      </c>
      <c r="H77" s="126" t="s">
        <v>168</v>
      </c>
      <c r="I77" s="127" t="s">
        <v>281</v>
      </c>
      <c r="J77" s="128" t="s">
        <v>168</v>
      </c>
      <c r="K77" s="391" t="s">
        <v>31</v>
      </c>
      <c r="L77" s="279">
        <f>7815746+91300</f>
        <v>7907046</v>
      </c>
      <c r="M77" s="387">
        <v>-0.08</v>
      </c>
      <c r="N77" s="388">
        <f>11843000+283000</f>
        <v>12126000</v>
      </c>
      <c r="O77" s="387">
        <f>12544200+299300</f>
        <v>12843500</v>
      </c>
      <c r="P77" s="388">
        <f>13255000+316000</f>
        <v>13571000</v>
      </c>
    </row>
    <row r="78" spans="1:16" s="386" customFormat="1" ht="12.75">
      <c r="A78" s="389" t="s">
        <v>299</v>
      </c>
      <c r="B78" s="381" t="s">
        <v>134</v>
      </c>
      <c r="C78" s="198" t="s">
        <v>99</v>
      </c>
      <c r="D78" s="382" t="s">
        <v>97</v>
      </c>
      <c r="E78" s="126" t="s">
        <v>6</v>
      </c>
      <c r="F78" s="125" t="s">
        <v>168</v>
      </c>
      <c r="G78" s="126" t="s">
        <v>168</v>
      </c>
      <c r="H78" s="126" t="s">
        <v>168</v>
      </c>
      <c r="I78" s="127" t="s">
        <v>281</v>
      </c>
      <c r="J78" s="128" t="s">
        <v>168</v>
      </c>
      <c r="K78" s="391" t="s">
        <v>282</v>
      </c>
      <c r="L78" s="279">
        <v>91300</v>
      </c>
      <c r="M78" s="387">
        <v>0</v>
      </c>
      <c r="N78" s="388">
        <v>283000</v>
      </c>
      <c r="O78" s="387">
        <v>299300</v>
      </c>
      <c r="P78" s="388">
        <v>316000</v>
      </c>
    </row>
    <row r="79" spans="1:16" s="386" customFormat="1" ht="38.25">
      <c r="A79" s="389" t="s">
        <v>265</v>
      </c>
      <c r="B79" s="381" t="s">
        <v>134</v>
      </c>
      <c r="C79" s="198" t="s">
        <v>99</v>
      </c>
      <c r="D79" s="382" t="s">
        <v>97</v>
      </c>
      <c r="E79" s="126" t="s">
        <v>6</v>
      </c>
      <c r="F79" s="125" t="s">
        <v>168</v>
      </c>
      <c r="G79" s="126" t="s">
        <v>168</v>
      </c>
      <c r="H79" s="126" t="s">
        <v>168</v>
      </c>
      <c r="I79" s="127" t="s">
        <v>281</v>
      </c>
      <c r="J79" s="128" t="s">
        <v>168</v>
      </c>
      <c r="K79" s="391" t="s">
        <v>193</v>
      </c>
      <c r="L79" s="279">
        <v>91300</v>
      </c>
      <c r="M79" s="387">
        <v>0</v>
      </c>
      <c r="N79" s="388">
        <v>283000</v>
      </c>
      <c r="O79" s="387">
        <v>299300</v>
      </c>
      <c r="P79" s="388">
        <v>316000</v>
      </c>
    </row>
    <row r="80" spans="1:16" s="386" customFormat="1" ht="12.75">
      <c r="A80" s="389" t="s">
        <v>83</v>
      </c>
      <c r="B80" s="381" t="s">
        <v>134</v>
      </c>
      <c r="C80" s="198" t="s">
        <v>99</v>
      </c>
      <c r="D80" s="382" t="s">
        <v>97</v>
      </c>
      <c r="E80" s="126" t="s">
        <v>6</v>
      </c>
      <c r="F80" s="125" t="s">
        <v>168</v>
      </c>
      <c r="G80" s="126" t="s">
        <v>168</v>
      </c>
      <c r="H80" s="126" t="s">
        <v>168</v>
      </c>
      <c r="I80" s="127" t="s">
        <v>281</v>
      </c>
      <c r="J80" s="128" t="s">
        <v>168</v>
      </c>
      <c r="K80" s="391" t="s">
        <v>84</v>
      </c>
      <c r="L80" s="279">
        <f>L81</f>
        <v>90974</v>
      </c>
      <c r="M80" s="387">
        <f>M81</f>
        <v>0.08</v>
      </c>
      <c r="N80" s="388">
        <f>N81</f>
        <v>281200</v>
      </c>
      <c r="O80" s="387">
        <f>O81</f>
        <v>299300</v>
      </c>
      <c r="P80" s="388">
        <f>P81</f>
        <v>317000</v>
      </c>
    </row>
    <row r="81" spans="1:16" s="386" customFormat="1" ht="38.25">
      <c r="A81" s="389" t="s">
        <v>209</v>
      </c>
      <c r="B81" s="381" t="s">
        <v>134</v>
      </c>
      <c r="C81" s="198" t="s">
        <v>99</v>
      </c>
      <c r="D81" s="382" t="s">
        <v>97</v>
      </c>
      <c r="E81" s="126" t="s">
        <v>6</v>
      </c>
      <c r="F81" s="125" t="s">
        <v>168</v>
      </c>
      <c r="G81" s="126" t="s">
        <v>168</v>
      </c>
      <c r="H81" s="126" t="s">
        <v>168</v>
      </c>
      <c r="I81" s="127" t="s">
        <v>281</v>
      </c>
      <c r="J81" s="128" t="s">
        <v>168</v>
      </c>
      <c r="K81" s="391" t="s">
        <v>173</v>
      </c>
      <c r="L81" s="279">
        <v>90974</v>
      </c>
      <c r="M81" s="387">
        <v>0.08</v>
      </c>
      <c r="N81" s="388">
        <v>281200</v>
      </c>
      <c r="O81" s="387">
        <v>299300</v>
      </c>
      <c r="P81" s="388">
        <v>317000</v>
      </c>
    </row>
    <row r="82" spans="1:16" s="386" customFormat="1" ht="24.75" customHeight="1">
      <c r="A82" s="389" t="s">
        <v>237</v>
      </c>
      <c r="B82" s="381" t="s">
        <v>134</v>
      </c>
      <c r="C82" s="198" t="s">
        <v>99</v>
      </c>
      <c r="D82" s="382" t="s">
        <v>98</v>
      </c>
      <c r="E82" s="126"/>
      <c r="F82" s="125"/>
      <c r="G82" s="126"/>
      <c r="H82" s="126"/>
      <c r="I82" s="127"/>
      <c r="J82" s="128"/>
      <c r="K82" s="391"/>
      <c r="L82" s="154">
        <f>L83</f>
        <v>87200</v>
      </c>
      <c r="M82" s="72">
        <f>M83</f>
        <v>0</v>
      </c>
      <c r="N82" s="73">
        <f>N83</f>
        <v>97200</v>
      </c>
      <c r="O82" s="72">
        <f>O83</f>
        <v>97200</v>
      </c>
      <c r="P82" s="73">
        <f>P83</f>
        <v>97200</v>
      </c>
    </row>
    <row r="83" spans="1:16" s="386" customFormat="1" ht="40.5" customHeight="1">
      <c r="A83" s="389" t="s">
        <v>372</v>
      </c>
      <c r="B83" s="381" t="s">
        <v>134</v>
      </c>
      <c r="C83" s="158" t="s">
        <v>99</v>
      </c>
      <c r="D83" s="396" t="s">
        <v>98</v>
      </c>
      <c r="E83" s="126" t="s">
        <v>6</v>
      </c>
      <c r="F83" s="126" t="s">
        <v>168</v>
      </c>
      <c r="G83" s="126" t="s">
        <v>168</v>
      </c>
      <c r="H83" s="126" t="s">
        <v>168</v>
      </c>
      <c r="I83" s="126" t="s">
        <v>169</v>
      </c>
      <c r="J83" s="128" t="s">
        <v>168</v>
      </c>
      <c r="K83" s="390"/>
      <c r="L83" s="154">
        <f>L87+L84</f>
        <v>87200</v>
      </c>
      <c r="M83" s="72">
        <f>M87+M84</f>
        <v>0</v>
      </c>
      <c r="N83" s="73">
        <f>N87+N84</f>
        <v>97200</v>
      </c>
      <c r="O83" s="72">
        <f>O87+O84</f>
        <v>97200</v>
      </c>
      <c r="P83" s="73">
        <f>P87+P84</f>
        <v>97200</v>
      </c>
    </row>
    <row r="84" spans="1:16" s="386" customFormat="1" ht="32.25" customHeight="1">
      <c r="A84" s="397" t="s">
        <v>40</v>
      </c>
      <c r="B84" s="381" t="s">
        <v>134</v>
      </c>
      <c r="C84" s="158" t="s">
        <v>99</v>
      </c>
      <c r="D84" s="396" t="s">
        <v>98</v>
      </c>
      <c r="E84" s="126" t="s">
        <v>6</v>
      </c>
      <c r="F84" s="126" t="s">
        <v>168</v>
      </c>
      <c r="G84" s="126" t="s">
        <v>168</v>
      </c>
      <c r="H84" s="126" t="s">
        <v>168</v>
      </c>
      <c r="I84" s="126" t="s">
        <v>36</v>
      </c>
      <c r="J84" s="128" t="s">
        <v>168</v>
      </c>
      <c r="K84" s="390"/>
      <c r="L84" s="154">
        <f aca="true" t="shared" si="18" ref="L84:P85">L85</f>
        <v>0</v>
      </c>
      <c r="M84" s="72">
        <f t="shared" si="18"/>
        <v>0</v>
      </c>
      <c r="N84" s="73">
        <f t="shared" si="18"/>
        <v>10000</v>
      </c>
      <c r="O84" s="72">
        <f t="shared" si="18"/>
        <v>10000</v>
      </c>
      <c r="P84" s="73">
        <f t="shared" si="18"/>
        <v>10000</v>
      </c>
    </row>
    <row r="85" spans="1:16" s="386" customFormat="1" ht="29.25" customHeight="1">
      <c r="A85" s="389" t="s">
        <v>73</v>
      </c>
      <c r="B85" s="381" t="s">
        <v>134</v>
      </c>
      <c r="C85" s="158" t="s">
        <v>99</v>
      </c>
      <c r="D85" s="396" t="s">
        <v>98</v>
      </c>
      <c r="E85" s="126" t="s">
        <v>6</v>
      </c>
      <c r="F85" s="126" t="s">
        <v>168</v>
      </c>
      <c r="G85" s="126" t="s">
        <v>168</v>
      </c>
      <c r="H85" s="126" t="s">
        <v>168</v>
      </c>
      <c r="I85" s="126" t="s">
        <v>36</v>
      </c>
      <c r="J85" s="128" t="s">
        <v>168</v>
      </c>
      <c r="K85" s="390" t="s">
        <v>74</v>
      </c>
      <c r="L85" s="154">
        <f t="shared" si="18"/>
        <v>0</v>
      </c>
      <c r="M85" s="72">
        <f t="shared" si="18"/>
        <v>0</v>
      </c>
      <c r="N85" s="73">
        <f t="shared" si="18"/>
        <v>10000</v>
      </c>
      <c r="O85" s="72">
        <f t="shared" si="18"/>
        <v>10000</v>
      </c>
      <c r="P85" s="73">
        <f t="shared" si="18"/>
        <v>10000</v>
      </c>
    </row>
    <row r="86" spans="1:16" s="386" customFormat="1" ht="31.5" customHeight="1">
      <c r="A86" s="389" t="s">
        <v>75</v>
      </c>
      <c r="B86" s="381" t="s">
        <v>134</v>
      </c>
      <c r="C86" s="158" t="s">
        <v>99</v>
      </c>
      <c r="D86" s="396" t="s">
        <v>98</v>
      </c>
      <c r="E86" s="126" t="s">
        <v>6</v>
      </c>
      <c r="F86" s="126" t="s">
        <v>168</v>
      </c>
      <c r="G86" s="126" t="s">
        <v>168</v>
      </c>
      <c r="H86" s="126" t="s">
        <v>168</v>
      </c>
      <c r="I86" s="126" t="s">
        <v>36</v>
      </c>
      <c r="J86" s="128" t="s">
        <v>168</v>
      </c>
      <c r="K86" s="390" t="s">
        <v>76</v>
      </c>
      <c r="L86" s="154">
        <v>0</v>
      </c>
      <c r="M86" s="72">
        <v>0</v>
      </c>
      <c r="N86" s="73">
        <v>10000</v>
      </c>
      <c r="O86" s="72">
        <v>10000</v>
      </c>
      <c r="P86" s="73">
        <v>10000</v>
      </c>
    </row>
    <row r="87" spans="1:16" s="386" customFormat="1" ht="17.25" customHeight="1">
      <c r="A87" s="389" t="s">
        <v>162</v>
      </c>
      <c r="B87" s="381" t="s">
        <v>134</v>
      </c>
      <c r="C87" s="158" t="s">
        <v>99</v>
      </c>
      <c r="D87" s="396" t="s">
        <v>98</v>
      </c>
      <c r="E87" s="126" t="s">
        <v>6</v>
      </c>
      <c r="F87" s="126" t="s">
        <v>168</v>
      </c>
      <c r="G87" s="126" t="s">
        <v>168</v>
      </c>
      <c r="H87" s="126" t="s">
        <v>168</v>
      </c>
      <c r="I87" s="126" t="s">
        <v>5</v>
      </c>
      <c r="J87" s="128" t="s">
        <v>168</v>
      </c>
      <c r="K87" s="390"/>
      <c r="L87" s="154">
        <f aca="true" t="shared" si="19" ref="L87:P88">L88</f>
        <v>87200</v>
      </c>
      <c r="M87" s="72">
        <f t="shared" si="19"/>
        <v>0</v>
      </c>
      <c r="N87" s="73">
        <f t="shared" si="19"/>
        <v>87200</v>
      </c>
      <c r="O87" s="72">
        <f t="shared" si="19"/>
        <v>87200</v>
      </c>
      <c r="P87" s="73">
        <f t="shared" si="19"/>
        <v>87200</v>
      </c>
    </row>
    <row r="88" spans="1:16" s="386" customFormat="1" ht="24.75" customHeight="1">
      <c r="A88" s="389" t="s">
        <v>29</v>
      </c>
      <c r="B88" s="381" t="s">
        <v>134</v>
      </c>
      <c r="C88" s="158" t="s">
        <v>99</v>
      </c>
      <c r="D88" s="396" t="s">
        <v>98</v>
      </c>
      <c r="E88" s="126" t="s">
        <v>6</v>
      </c>
      <c r="F88" s="126" t="s">
        <v>168</v>
      </c>
      <c r="G88" s="126" t="s">
        <v>168</v>
      </c>
      <c r="H88" s="126" t="s">
        <v>168</v>
      </c>
      <c r="I88" s="126" t="s">
        <v>5</v>
      </c>
      <c r="J88" s="128" t="s">
        <v>168</v>
      </c>
      <c r="K88" s="390" t="s">
        <v>182</v>
      </c>
      <c r="L88" s="154">
        <f t="shared" si="19"/>
        <v>87200</v>
      </c>
      <c r="M88" s="72">
        <f t="shared" si="19"/>
        <v>0</v>
      </c>
      <c r="N88" s="73">
        <f t="shared" si="19"/>
        <v>87200</v>
      </c>
      <c r="O88" s="72">
        <f t="shared" si="19"/>
        <v>87200</v>
      </c>
      <c r="P88" s="73">
        <f t="shared" si="19"/>
        <v>87200</v>
      </c>
    </row>
    <row r="89" spans="1:16" s="386" customFormat="1" ht="18.75" customHeight="1">
      <c r="A89" s="389" t="s">
        <v>30</v>
      </c>
      <c r="B89" s="381" t="s">
        <v>134</v>
      </c>
      <c r="C89" s="158" t="s">
        <v>99</v>
      </c>
      <c r="D89" s="396" t="s">
        <v>98</v>
      </c>
      <c r="E89" s="126" t="s">
        <v>6</v>
      </c>
      <c r="F89" s="126" t="s">
        <v>168</v>
      </c>
      <c r="G89" s="126" t="s">
        <v>168</v>
      </c>
      <c r="H89" s="126" t="s">
        <v>168</v>
      </c>
      <c r="I89" s="126" t="s">
        <v>5</v>
      </c>
      <c r="J89" s="128" t="s">
        <v>168</v>
      </c>
      <c r="K89" s="390" t="s">
        <v>31</v>
      </c>
      <c r="L89" s="154">
        <v>87200</v>
      </c>
      <c r="M89" s="72">
        <v>0</v>
      </c>
      <c r="N89" s="73">
        <f>107200-20000</f>
        <v>87200</v>
      </c>
      <c r="O89" s="72">
        <f>107200-20000</f>
        <v>87200</v>
      </c>
      <c r="P89" s="73">
        <f>107200-20000</f>
        <v>87200</v>
      </c>
    </row>
    <row r="90" spans="1:16" s="386" customFormat="1" ht="12.75">
      <c r="A90" s="380" t="s">
        <v>221</v>
      </c>
      <c r="B90" s="381" t="s">
        <v>134</v>
      </c>
      <c r="C90" s="158" t="s">
        <v>99</v>
      </c>
      <c r="D90" s="396" t="s">
        <v>99</v>
      </c>
      <c r="E90" s="159"/>
      <c r="F90" s="159"/>
      <c r="G90" s="126"/>
      <c r="H90" s="126"/>
      <c r="I90" s="159"/>
      <c r="J90" s="398"/>
      <c r="K90" s="399"/>
      <c r="L90" s="154" t="e">
        <f>#REF!+L91</f>
        <v>#REF!</v>
      </c>
      <c r="M90" s="72" t="e">
        <f>#REF!+M91</f>
        <v>#REF!</v>
      </c>
      <c r="N90" s="73">
        <f>N91</f>
        <v>200000</v>
      </c>
      <c r="O90" s="72">
        <f>O91</f>
        <v>200000</v>
      </c>
      <c r="P90" s="73">
        <f>P91</f>
        <v>200000</v>
      </c>
    </row>
    <row r="91" spans="1:16" s="386" customFormat="1" ht="38.25">
      <c r="A91" s="389" t="s">
        <v>369</v>
      </c>
      <c r="B91" s="381" t="s">
        <v>134</v>
      </c>
      <c r="C91" s="198" t="s">
        <v>99</v>
      </c>
      <c r="D91" s="396" t="s">
        <v>99</v>
      </c>
      <c r="E91" s="153" t="s">
        <v>99</v>
      </c>
      <c r="F91" s="153" t="s">
        <v>168</v>
      </c>
      <c r="G91" s="126" t="s">
        <v>168</v>
      </c>
      <c r="H91" s="126" t="s">
        <v>168</v>
      </c>
      <c r="I91" s="153" t="s">
        <v>169</v>
      </c>
      <c r="J91" s="128" t="s">
        <v>168</v>
      </c>
      <c r="K91" s="400"/>
      <c r="L91" s="154">
        <f aca="true" t="shared" si="20" ref="L91:N94">L92</f>
        <v>200000</v>
      </c>
      <c r="M91" s="72">
        <f t="shared" si="20"/>
        <v>0</v>
      </c>
      <c r="N91" s="73">
        <f t="shared" si="20"/>
        <v>200000</v>
      </c>
      <c r="O91" s="72">
        <f aca="true" t="shared" si="21" ref="O91:P94">O92</f>
        <v>200000</v>
      </c>
      <c r="P91" s="73">
        <f t="shared" si="21"/>
        <v>200000</v>
      </c>
    </row>
    <row r="92" spans="1:16" s="386" customFormat="1" ht="25.5">
      <c r="A92" s="401" t="s">
        <v>370</v>
      </c>
      <c r="B92" s="381" t="s">
        <v>134</v>
      </c>
      <c r="C92" s="198" t="s">
        <v>99</v>
      </c>
      <c r="D92" s="396" t="s">
        <v>99</v>
      </c>
      <c r="E92" s="159" t="s">
        <v>99</v>
      </c>
      <c r="F92" s="159" t="s">
        <v>166</v>
      </c>
      <c r="G92" s="126" t="s">
        <v>168</v>
      </c>
      <c r="H92" s="126" t="s">
        <v>168</v>
      </c>
      <c r="I92" s="159" t="s">
        <v>169</v>
      </c>
      <c r="J92" s="128" t="s">
        <v>168</v>
      </c>
      <c r="K92" s="399"/>
      <c r="L92" s="154">
        <f t="shared" si="20"/>
        <v>200000</v>
      </c>
      <c r="M92" s="72">
        <f t="shared" si="20"/>
        <v>0</v>
      </c>
      <c r="N92" s="73">
        <f t="shared" si="20"/>
        <v>200000</v>
      </c>
      <c r="O92" s="72">
        <f t="shared" si="21"/>
        <v>200000</v>
      </c>
      <c r="P92" s="73">
        <f t="shared" si="21"/>
        <v>200000</v>
      </c>
    </row>
    <row r="93" spans="1:16" s="386" customFormat="1" ht="21" customHeight="1">
      <c r="A93" s="401" t="s">
        <v>286</v>
      </c>
      <c r="B93" s="381" t="s">
        <v>134</v>
      </c>
      <c r="C93" s="198" t="s">
        <v>99</v>
      </c>
      <c r="D93" s="396" t="s">
        <v>99</v>
      </c>
      <c r="E93" s="159" t="s">
        <v>99</v>
      </c>
      <c r="F93" s="159" t="s">
        <v>166</v>
      </c>
      <c r="G93" s="126" t="s">
        <v>168</v>
      </c>
      <c r="H93" s="126" t="s">
        <v>168</v>
      </c>
      <c r="I93" s="159" t="s">
        <v>22</v>
      </c>
      <c r="J93" s="128" t="s">
        <v>168</v>
      </c>
      <c r="K93" s="399"/>
      <c r="L93" s="154">
        <f t="shared" si="20"/>
        <v>200000</v>
      </c>
      <c r="M93" s="72">
        <f t="shared" si="20"/>
        <v>0</v>
      </c>
      <c r="N93" s="73">
        <f t="shared" si="20"/>
        <v>200000</v>
      </c>
      <c r="O93" s="72">
        <f t="shared" si="21"/>
        <v>200000</v>
      </c>
      <c r="P93" s="73">
        <f t="shared" si="21"/>
        <v>200000</v>
      </c>
    </row>
    <row r="94" spans="1:16" s="386" customFormat="1" ht="25.5">
      <c r="A94" s="389" t="s">
        <v>29</v>
      </c>
      <c r="B94" s="381" t="s">
        <v>134</v>
      </c>
      <c r="C94" s="198" t="s">
        <v>99</v>
      </c>
      <c r="D94" s="396" t="s">
        <v>99</v>
      </c>
      <c r="E94" s="159" t="s">
        <v>99</v>
      </c>
      <c r="F94" s="159" t="s">
        <v>166</v>
      </c>
      <c r="G94" s="126" t="s">
        <v>168</v>
      </c>
      <c r="H94" s="126" t="s">
        <v>168</v>
      </c>
      <c r="I94" s="159" t="s">
        <v>22</v>
      </c>
      <c r="J94" s="128" t="s">
        <v>168</v>
      </c>
      <c r="K94" s="391">
        <v>600</v>
      </c>
      <c r="L94" s="154">
        <f t="shared" si="20"/>
        <v>200000</v>
      </c>
      <c r="M94" s="72">
        <f t="shared" si="20"/>
        <v>0</v>
      </c>
      <c r="N94" s="73">
        <f t="shared" si="20"/>
        <v>200000</v>
      </c>
      <c r="O94" s="72">
        <f t="shared" si="21"/>
        <v>200000</v>
      </c>
      <c r="P94" s="73">
        <f t="shared" si="21"/>
        <v>200000</v>
      </c>
    </row>
    <row r="95" spans="1:16" s="386" customFormat="1" ht="12.75">
      <c r="A95" s="389" t="s">
        <v>30</v>
      </c>
      <c r="B95" s="381" t="s">
        <v>134</v>
      </c>
      <c r="C95" s="198" t="s">
        <v>99</v>
      </c>
      <c r="D95" s="396" t="s">
        <v>99</v>
      </c>
      <c r="E95" s="159" t="s">
        <v>99</v>
      </c>
      <c r="F95" s="159" t="s">
        <v>166</v>
      </c>
      <c r="G95" s="126" t="s">
        <v>168</v>
      </c>
      <c r="H95" s="126" t="s">
        <v>168</v>
      </c>
      <c r="I95" s="159" t="s">
        <v>22</v>
      </c>
      <c r="J95" s="128" t="s">
        <v>168</v>
      </c>
      <c r="K95" s="391" t="s">
        <v>31</v>
      </c>
      <c r="L95" s="154">
        <v>200000</v>
      </c>
      <c r="M95" s="72">
        <v>0</v>
      </c>
      <c r="N95" s="73">
        <v>200000</v>
      </c>
      <c r="O95" s="72">
        <v>200000</v>
      </c>
      <c r="P95" s="73">
        <v>200000</v>
      </c>
    </row>
    <row r="96" spans="1:16" s="386" customFormat="1" ht="12.75">
      <c r="A96" s="380" t="s">
        <v>116</v>
      </c>
      <c r="B96" s="381" t="s">
        <v>134</v>
      </c>
      <c r="C96" s="158" t="s">
        <v>99</v>
      </c>
      <c r="D96" s="396" t="s">
        <v>111</v>
      </c>
      <c r="E96" s="159"/>
      <c r="F96" s="159"/>
      <c r="G96" s="126"/>
      <c r="H96" s="126"/>
      <c r="I96" s="159"/>
      <c r="J96" s="398"/>
      <c r="K96" s="402"/>
      <c r="L96" s="154" t="e">
        <f>L97</f>
        <v>#REF!</v>
      </c>
      <c r="M96" s="72" t="e">
        <f>M97</f>
        <v>#REF!</v>
      </c>
      <c r="N96" s="73">
        <f>N97</f>
        <v>27747086.74</v>
      </c>
      <c r="O96" s="72">
        <f>O97</f>
        <v>27897505.099999998</v>
      </c>
      <c r="P96" s="73">
        <f>P97</f>
        <v>28053942.009999998</v>
      </c>
    </row>
    <row r="97" spans="1:16" s="386" customFormat="1" ht="25.5">
      <c r="A97" s="389" t="s">
        <v>372</v>
      </c>
      <c r="B97" s="381" t="s">
        <v>134</v>
      </c>
      <c r="C97" s="158" t="s">
        <v>99</v>
      </c>
      <c r="D97" s="396" t="s">
        <v>111</v>
      </c>
      <c r="E97" s="126" t="s">
        <v>6</v>
      </c>
      <c r="F97" s="126" t="s">
        <v>168</v>
      </c>
      <c r="G97" s="126" t="s">
        <v>168</v>
      </c>
      <c r="H97" s="126" t="s">
        <v>168</v>
      </c>
      <c r="I97" s="126" t="s">
        <v>169</v>
      </c>
      <c r="J97" s="128" t="s">
        <v>168</v>
      </c>
      <c r="K97" s="390"/>
      <c r="L97" s="154" t="e">
        <f>L101+L106+#REF!</f>
        <v>#REF!</v>
      </c>
      <c r="M97" s="72" t="e">
        <f>M101+M106+#REF!</f>
        <v>#REF!</v>
      </c>
      <c r="N97" s="73">
        <f>N101+N106+N98</f>
        <v>27747086.74</v>
      </c>
      <c r="O97" s="72">
        <f>O101+O106+O98</f>
        <v>27897505.099999998</v>
      </c>
      <c r="P97" s="73">
        <f>P101+P106+P98</f>
        <v>28053942.009999998</v>
      </c>
    </row>
    <row r="98" spans="1:16" s="386" customFormat="1" ht="63.75">
      <c r="A98" s="389" t="s">
        <v>359</v>
      </c>
      <c r="B98" s="381" t="s">
        <v>134</v>
      </c>
      <c r="C98" s="158" t="s">
        <v>99</v>
      </c>
      <c r="D98" s="396" t="s">
        <v>111</v>
      </c>
      <c r="E98" s="126" t="s">
        <v>6</v>
      </c>
      <c r="F98" s="126" t="s">
        <v>168</v>
      </c>
      <c r="G98" s="126" t="s">
        <v>168</v>
      </c>
      <c r="H98" s="126" t="s">
        <v>168</v>
      </c>
      <c r="I98" s="126" t="s">
        <v>69</v>
      </c>
      <c r="J98" s="128" t="s">
        <v>168</v>
      </c>
      <c r="K98" s="390"/>
      <c r="L98" s="154">
        <f aca="true" t="shared" si="22" ref="L98:P99">L99</f>
        <v>3544237.58</v>
      </c>
      <c r="M98" s="72">
        <f t="shared" si="22"/>
        <v>0</v>
      </c>
      <c r="N98" s="73">
        <f t="shared" si="22"/>
        <v>3760338.91</v>
      </c>
      <c r="O98" s="72">
        <f t="shared" si="22"/>
        <v>3910757.27</v>
      </c>
      <c r="P98" s="73">
        <f t="shared" si="22"/>
        <v>4067194.18</v>
      </c>
    </row>
    <row r="99" spans="1:16" s="386" customFormat="1" ht="25.5">
      <c r="A99" s="389" t="s">
        <v>29</v>
      </c>
      <c r="B99" s="381" t="s">
        <v>134</v>
      </c>
      <c r="C99" s="158" t="s">
        <v>99</v>
      </c>
      <c r="D99" s="396" t="s">
        <v>111</v>
      </c>
      <c r="E99" s="126" t="s">
        <v>6</v>
      </c>
      <c r="F99" s="125" t="s">
        <v>168</v>
      </c>
      <c r="G99" s="126" t="s">
        <v>168</v>
      </c>
      <c r="H99" s="126" t="s">
        <v>168</v>
      </c>
      <c r="I99" s="127" t="s">
        <v>69</v>
      </c>
      <c r="J99" s="128" t="s">
        <v>168</v>
      </c>
      <c r="K99" s="391">
        <v>600</v>
      </c>
      <c r="L99" s="154">
        <f t="shared" si="22"/>
        <v>3544237.58</v>
      </c>
      <c r="M99" s="72">
        <f t="shared" si="22"/>
        <v>0</v>
      </c>
      <c r="N99" s="73">
        <f t="shared" si="22"/>
        <v>3760338.91</v>
      </c>
      <c r="O99" s="72">
        <f t="shared" si="22"/>
        <v>3910757.27</v>
      </c>
      <c r="P99" s="73">
        <f t="shared" si="22"/>
        <v>4067194.18</v>
      </c>
    </row>
    <row r="100" spans="1:16" s="386" customFormat="1" ht="12.75">
      <c r="A100" s="389" t="s">
        <v>30</v>
      </c>
      <c r="B100" s="381" t="s">
        <v>134</v>
      </c>
      <c r="C100" s="158" t="s">
        <v>99</v>
      </c>
      <c r="D100" s="396" t="s">
        <v>111</v>
      </c>
      <c r="E100" s="126" t="s">
        <v>6</v>
      </c>
      <c r="F100" s="125" t="s">
        <v>168</v>
      </c>
      <c r="G100" s="126" t="s">
        <v>168</v>
      </c>
      <c r="H100" s="126" t="s">
        <v>168</v>
      </c>
      <c r="I100" s="127" t="s">
        <v>69</v>
      </c>
      <c r="J100" s="128" t="s">
        <v>168</v>
      </c>
      <c r="K100" s="391" t="s">
        <v>31</v>
      </c>
      <c r="L100" s="154">
        <v>3544237.58</v>
      </c>
      <c r="M100" s="72">
        <v>0</v>
      </c>
      <c r="N100" s="73">
        <v>3760338.91</v>
      </c>
      <c r="O100" s="72">
        <v>3910757.27</v>
      </c>
      <c r="P100" s="73">
        <v>4067194.18</v>
      </c>
    </row>
    <row r="101" spans="1:16" s="386" customFormat="1" ht="25.5">
      <c r="A101" s="397" t="s">
        <v>40</v>
      </c>
      <c r="B101" s="381" t="s">
        <v>134</v>
      </c>
      <c r="C101" s="158" t="s">
        <v>99</v>
      </c>
      <c r="D101" s="396" t="s">
        <v>111</v>
      </c>
      <c r="E101" s="126" t="s">
        <v>6</v>
      </c>
      <c r="F101" s="126" t="s">
        <v>168</v>
      </c>
      <c r="G101" s="126" t="s">
        <v>168</v>
      </c>
      <c r="H101" s="126" t="s">
        <v>168</v>
      </c>
      <c r="I101" s="126" t="s">
        <v>36</v>
      </c>
      <c r="J101" s="128" t="s">
        <v>168</v>
      </c>
      <c r="K101" s="390"/>
      <c r="L101" s="154">
        <f>L102+L104</f>
        <v>17051100</v>
      </c>
      <c r="M101" s="72">
        <f>M102+M104</f>
        <v>0</v>
      </c>
      <c r="N101" s="73">
        <f>N102+N104</f>
        <v>23917747.83</v>
      </c>
      <c r="O101" s="72">
        <f>O102+O104</f>
        <v>23917747.83</v>
      </c>
      <c r="P101" s="73">
        <f>P102+P104</f>
        <v>23917747.83</v>
      </c>
    </row>
    <row r="102" spans="1:16" s="386" customFormat="1" ht="51">
      <c r="A102" s="389" t="s">
        <v>92</v>
      </c>
      <c r="B102" s="381" t="s">
        <v>134</v>
      </c>
      <c r="C102" s="158" t="s">
        <v>99</v>
      </c>
      <c r="D102" s="396" t="s">
        <v>111</v>
      </c>
      <c r="E102" s="126" t="s">
        <v>6</v>
      </c>
      <c r="F102" s="126" t="s">
        <v>168</v>
      </c>
      <c r="G102" s="126" t="s">
        <v>168</v>
      </c>
      <c r="H102" s="126" t="s">
        <v>168</v>
      </c>
      <c r="I102" s="126" t="s">
        <v>36</v>
      </c>
      <c r="J102" s="128" t="s">
        <v>168</v>
      </c>
      <c r="K102" s="390">
        <v>100</v>
      </c>
      <c r="L102" s="154">
        <f>L103</f>
        <v>16775400</v>
      </c>
      <c r="M102" s="72">
        <f>M103</f>
        <v>0</v>
      </c>
      <c r="N102" s="73">
        <f>N103</f>
        <v>23652047.83</v>
      </c>
      <c r="O102" s="72">
        <f>O103</f>
        <v>23652047.83</v>
      </c>
      <c r="P102" s="73">
        <f>P103</f>
        <v>23652047.83</v>
      </c>
    </row>
    <row r="103" spans="1:16" s="386" customFormat="1" ht="25.5">
      <c r="A103" s="389" t="s">
        <v>82</v>
      </c>
      <c r="B103" s="381" t="s">
        <v>134</v>
      </c>
      <c r="C103" s="158" t="s">
        <v>99</v>
      </c>
      <c r="D103" s="396" t="s">
        <v>111</v>
      </c>
      <c r="E103" s="126" t="s">
        <v>6</v>
      </c>
      <c r="F103" s="126" t="s">
        <v>168</v>
      </c>
      <c r="G103" s="126" t="s">
        <v>168</v>
      </c>
      <c r="H103" s="126" t="s">
        <v>168</v>
      </c>
      <c r="I103" s="126" t="s">
        <v>36</v>
      </c>
      <c r="J103" s="128" t="s">
        <v>168</v>
      </c>
      <c r="K103" s="390">
        <v>120</v>
      </c>
      <c r="L103" s="154">
        <v>16775400</v>
      </c>
      <c r="M103" s="72">
        <v>0</v>
      </c>
      <c r="N103" s="73">
        <v>23652047.83</v>
      </c>
      <c r="O103" s="73">
        <v>23652047.83</v>
      </c>
      <c r="P103" s="73">
        <v>23652047.83</v>
      </c>
    </row>
    <row r="104" spans="1:16" s="386" customFormat="1" ht="25.5">
      <c r="A104" s="389" t="s">
        <v>73</v>
      </c>
      <c r="B104" s="381" t="s">
        <v>134</v>
      </c>
      <c r="C104" s="158" t="s">
        <v>99</v>
      </c>
      <c r="D104" s="396" t="s">
        <v>111</v>
      </c>
      <c r="E104" s="126" t="s">
        <v>6</v>
      </c>
      <c r="F104" s="126" t="s">
        <v>168</v>
      </c>
      <c r="G104" s="126" t="s">
        <v>168</v>
      </c>
      <c r="H104" s="126" t="s">
        <v>168</v>
      </c>
      <c r="I104" s="126" t="s">
        <v>36</v>
      </c>
      <c r="J104" s="128" t="s">
        <v>168</v>
      </c>
      <c r="K104" s="390">
        <v>200</v>
      </c>
      <c r="L104" s="154">
        <f>L105</f>
        <v>275700</v>
      </c>
      <c r="M104" s="72">
        <f>M105</f>
        <v>0</v>
      </c>
      <c r="N104" s="73">
        <f>N105</f>
        <v>265700</v>
      </c>
      <c r="O104" s="72">
        <f>O105</f>
        <v>265700</v>
      </c>
      <c r="P104" s="73">
        <f>P105</f>
        <v>265700</v>
      </c>
    </row>
    <row r="105" spans="1:16" s="386" customFormat="1" ht="25.5">
      <c r="A105" s="389" t="s">
        <v>75</v>
      </c>
      <c r="B105" s="381" t="s">
        <v>134</v>
      </c>
      <c r="C105" s="158" t="s">
        <v>99</v>
      </c>
      <c r="D105" s="396" t="s">
        <v>111</v>
      </c>
      <c r="E105" s="126" t="s">
        <v>6</v>
      </c>
      <c r="F105" s="126" t="s">
        <v>168</v>
      </c>
      <c r="G105" s="126" t="s">
        <v>168</v>
      </c>
      <c r="H105" s="126" t="s">
        <v>168</v>
      </c>
      <c r="I105" s="126" t="s">
        <v>36</v>
      </c>
      <c r="J105" s="128" t="s">
        <v>168</v>
      </c>
      <c r="K105" s="390">
        <v>240</v>
      </c>
      <c r="L105" s="154">
        <v>275700</v>
      </c>
      <c r="M105" s="72">
        <v>0</v>
      </c>
      <c r="N105" s="73">
        <v>265700</v>
      </c>
      <c r="O105" s="72">
        <v>265700</v>
      </c>
      <c r="P105" s="73">
        <v>265700</v>
      </c>
    </row>
    <row r="106" spans="1:16" s="386" customFormat="1" ht="12.75">
      <c r="A106" s="389" t="s">
        <v>162</v>
      </c>
      <c r="B106" s="381" t="s">
        <v>134</v>
      </c>
      <c r="C106" s="158" t="s">
        <v>99</v>
      </c>
      <c r="D106" s="396" t="s">
        <v>111</v>
      </c>
      <c r="E106" s="126" t="s">
        <v>6</v>
      </c>
      <c r="F106" s="125" t="s">
        <v>168</v>
      </c>
      <c r="G106" s="126" t="s">
        <v>168</v>
      </c>
      <c r="H106" s="126" t="s">
        <v>168</v>
      </c>
      <c r="I106" s="127" t="s">
        <v>5</v>
      </c>
      <c r="J106" s="128" t="s">
        <v>168</v>
      </c>
      <c r="K106" s="391"/>
      <c r="L106" s="154">
        <f aca="true" t="shared" si="23" ref="L106:P107">L107</f>
        <v>69000</v>
      </c>
      <c r="M106" s="72">
        <f t="shared" si="23"/>
        <v>0</v>
      </c>
      <c r="N106" s="73">
        <f t="shared" si="23"/>
        <v>69000</v>
      </c>
      <c r="O106" s="72">
        <f t="shared" si="23"/>
        <v>69000</v>
      </c>
      <c r="P106" s="73">
        <f t="shared" si="23"/>
        <v>69000</v>
      </c>
    </row>
    <row r="107" spans="1:16" s="386" customFormat="1" ht="25.5">
      <c r="A107" s="401" t="s">
        <v>157</v>
      </c>
      <c r="B107" s="381" t="s">
        <v>134</v>
      </c>
      <c r="C107" s="158" t="s">
        <v>99</v>
      </c>
      <c r="D107" s="396" t="s">
        <v>111</v>
      </c>
      <c r="E107" s="159" t="s">
        <v>6</v>
      </c>
      <c r="F107" s="159" t="s">
        <v>168</v>
      </c>
      <c r="G107" s="126" t="s">
        <v>168</v>
      </c>
      <c r="H107" s="126" t="s">
        <v>168</v>
      </c>
      <c r="I107" s="159" t="s">
        <v>5</v>
      </c>
      <c r="J107" s="128" t="s">
        <v>168</v>
      </c>
      <c r="K107" s="399" t="s">
        <v>74</v>
      </c>
      <c r="L107" s="154">
        <f t="shared" si="23"/>
        <v>69000</v>
      </c>
      <c r="M107" s="72">
        <f t="shared" si="23"/>
        <v>0</v>
      </c>
      <c r="N107" s="73">
        <f t="shared" si="23"/>
        <v>69000</v>
      </c>
      <c r="O107" s="72">
        <f t="shared" si="23"/>
        <v>69000</v>
      </c>
      <c r="P107" s="73">
        <f t="shared" si="23"/>
        <v>69000</v>
      </c>
    </row>
    <row r="108" spans="1:16" s="386" customFormat="1" ht="25.5">
      <c r="A108" s="401" t="s">
        <v>75</v>
      </c>
      <c r="B108" s="381" t="s">
        <v>134</v>
      </c>
      <c r="C108" s="158" t="s">
        <v>99</v>
      </c>
      <c r="D108" s="396" t="s">
        <v>111</v>
      </c>
      <c r="E108" s="159" t="s">
        <v>6</v>
      </c>
      <c r="F108" s="159" t="s">
        <v>168</v>
      </c>
      <c r="G108" s="126" t="s">
        <v>168</v>
      </c>
      <c r="H108" s="126" t="s">
        <v>168</v>
      </c>
      <c r="I108" s="159" t="s">
        <v>5</v>
      </c>
      <c r="J108" s="128" t="s">
        <v>168</v>
      </c>
      <c r="K108" s="399" t="s">
        <v>76</v>
      </c>
      <c r="L108" s="154">
        <v>69000</v>
      </c>
      <c r="M108" s="72">
        <v>0</v>
      </c>
      <c r="N108" s="73">
        <v>69000</v>
      </c>
      <c r="O108" s="72">
        <v>69000</v>
      </c>
      <c r="P108" s="73">
        <v>69000</v>
      </c>
    </row>
    <row r="109" spans="1:16" ht="12.75">
      <c r="A109" s="380" t="s">
        <v>104</v>
      </c>
      <c r="B109" s="381" t="s">
        <v>134</v>
      </c>
      <c r="C109" s="158" t="s">
        <v>113</v>
      </c>
      <c r="D109" s="396"/>
      <c r="E109" s="159"/>
      <c r="F109" s="298"/>
      <c r="G109" s="126"/>
      <c r="H109" s="126"/>
      <c r="I109" s="127"/>
      <c r="J109" s="403"/>
      <c r="K109" s="391"/>
      <c r="L109" s="154">
        <f aca="true" t="shared" si="24" ref="L109:N113">L110</f>
        <v>6102176.66</v>
      </c>
      <c r="M109" s="72">
        <f t="shared" si="24"/>
        <v>0</v>
      </c>
      <c r="N109" s="73">
        <f t="shared" si="24"/>
        <v>6070570</v>
      </c>
      <c r="O109" s="72">
        <f aca="true" t="shared" si="25" ref="O109:P113">O110</f>
        <v>6146920</v>
      </c>
      <c r="P109" s="73">
        <f t="shared" si="25"/>
        <v>7097030</v>
      </c>
    </row>
    <row r="110" spans="1:16" ht="12.75">
      <c r="A110" s="380" t="s">
        <v>137</v>
      </c>
      <c r="B110" s="381" t="s">
        <v>134</v>
      </c>
      <c r="C110" s="158" t="s">
        <v>113</v>
      </c>
      <c r="D110" s="396" t="s">
        <v>96</v>
      </c>
      <c r="E110" s="159"/>
      <c r="F110" s="298"/>
      <c r="G110" s="126"/>
      <c r="H110" s="126"/>
      <c r="I110" s="127"/>
      <c r="J110" s="403"/>
      <c r="K110" s="391"/>
      <c r="L110" s="154">
        <f t="shared" si="24"/>
        <v>6102176.66</v>
      </c>
      <c r="M110" s="72">
        <f t="shared" si="24"/>
        <v>0</v>
      </c>
      <c r="N110" s="73">
        <f t="shared" si="24"/>
        <v>6070570</v>
      </c>
      <c r="O110" s="72">
        <f t="shared" si="25"/>
        <v>6146920</v>
      </c>
      <c r="P110" s="73">
        <f t="shared" si="25"/>
        <v>7097030</v>
      </c>
    </row>
    <row r="111" spans="1:16" ht="25.5">
      <c r="A111" s="389" t="s">
        <v>372</v>
      </c>
      <c r="B111" s="381" t="s">
        <v>134</v>
      </c>
      <c r="C111" s="158" t="s">
        <v>113</v>
      </c>
      <c r="D111" s="396" t="s">
        <v>96</v>
      </c>
      <c r="E111" s="159" t="s">
        <v>6</v>
      </c>
      <c r="F111" s="298" t="s">
        <v>168</v>
      </c>
      <c r="G111" s="126" t="s">
        <v>168</v>
      </c>
      <c r="H111" s="126" t="s">
        <v>168</v>
      </c>
      <c r="I111" s="127" t="s">
        <v>169</v>
      </c>
      <c r="J111" s="128" t="s">
        <v>168</v>
      </c>
      <c r="K111" s="391"/>
      <c r="L111" s="154">
        <f t="shared" si="24"/>
        <v>6102176.66</v>
      </c>
      <c r="M111" s="72">
        <f t="shared" si="24"/>
        <v>0</v>
      </c>
      <c r="N111" s="73">
        <f t="shared" si="24"/>
        <v>6070570</v>
      </c>
      <c r="O111" s="72">
        <f t="shared" si="25"/>
        <v>6146920</v>
      </c>
      <c r="P111" s="73">
        <f t="shared" si="25"/>
        <v>7097030</v>
      </c>
    </row>
    <row r="112" spans="1:16" ht="41.25" customHeight="1">
      <c r="A112" s="380" t="s">
        <v>186</v>
      </c>
      <c r="B112" s="381" t="s">
        <v>134</v>
      </c>
      <c r="C112" s="158" t="s">
        <v>113</v>
      </c>
      <c r="D112" s="396" t="s">
        <v>96</v>
      </c>
      <c r="E112" s="159" t="s">
        <v>6</v>
      </c>
      <c r="F112" s="298" t="s">
        <v>168</v>
      </c>
      <c r="G112" s="126" t="s">
        <v>168</v>
      </c>
      <c r="H112" s="126" t="s">
        <v>168</v>
      </c>
      <c r="I112" s="127" t="s">
        <v>91</v>
      </c>
      <c r="J112" s="128" t="s">
        <v>168</v>
      </c>
      <c r="K112" s="391"/>
      <c r="L112" s="154">
        <f t="shared" si="24"/>
        <v>6102176.66</v>
      </c>
      <c r="M112" s="72">
        <f t="shared" si="24"/>
        <v>0</v>
      </c>
      <c r="N112" s="73">
        <f t="shared" si="24"/>
        <v>6070570</v>
      </c>
      <c r="O112" s="72">
        <f t="shared" si="25"/>
        <v>6146920</v>
      </c>
      <c r="P112" s="73">
        <f t="shared" si="25"/>
        <v>7097030</v>
      </c>
    </row>
    <row r="113" spans="1:16" ht="31.5" customHeight="1">
      <c r="A113" s="389" t="s">
        <v>29</v>
      </c>
      <c r="B113" s="381" t="s">
        <v>134</v>
      </c>
      <c r="C113" s="158" t="s">
        <v>113</v>
      </c>
      <c r="D113" s="396" t="s">
        <v>96</v>
      </c>
      <c r="E113" s="159" t="s">
        <v>6</v>
      </c>
      <c r="F113" s="298" t="s">
        <v>168</v>
      </c>
      <c r="G113" s="126" t="s">
        <v>168</v>
      </c>
      <c r="H113" s="126" t="s">
        <v>168</v>
      </c>
      <c r="I113" s="127" t="s">
        <v>91</v>
      </c>
      <c r="J113" s="128" t="s">
        <v>168</v>
      </c>
      <c r="K113" s="391" t="s">
        <v>182</v>
      </c>
      <c r="L113" s="154">
        <f t="shared" si="24"/>
        <v>6102176.66</v>
      </c>
      <c r="M113" s="72">
        <f t="shared" si="24"/>
        <v>0</v>
      </c>
      <c r="N113" s="73">
        <f t="shared" si="24"/>
        <v>6070570</v>
      </c>
      <c r="O113" s="72">
        <f t="shared" si="25"/>
        <v>6146920</v>
      </c>
      <c r="P113" s="73">
        <f t="shared" si="25"/>
        <v>7097030</v>
      </c>
    </row>
    <row r="114" spans="1:16" ht="20.25" customHeight="1">
      <c r="A114" s="389" t="s">
        <v>30</v>
      </c>
      <c r="B114" s="381" t="s">
        <v>134</v>
      </c>
      <c r="C114" s="158" t="s">
        <v>113</v>
      </c>
      <c r="D114" s="396" t="s">
        <v>96</v>
      </c>
      <c r="E114" s="159" t="s">
        <v>6</v>
      </c>
      <c r="F114" s="298" t="s">
        <v>168</v>
      </c>
      <c r="G114" s="126" t="s">
        <v>168</v>
      </c>
      <c r="H114" s="126" t="s">
        <v>168</v>
      </c>
      <c r="I114" s="127" t="s">
        <v>91</v>
      </c>
      <c r="J114" s="128" t="s">
        <v>168</v>
      </c>
      <c r="K114" s="391" t="s">
        <v>31</v>
      </c>
      <c r="L114" s="154">
        <v>6102176.66</v>
      </c>
      <c r="M114" s="72">
        <v>0</v>
      </c>
      <c r="N114" s="73">
        <v>6070570</v>
      </c>
      <c r="O114" s="72">
        <v>6146920</v>
      </c>
      <c r="P114" s="73">
        <v>7097030</v>
      </c>
    </row>
    <row r="115" spans="1:16" ht="2.25" customHeight="1">
      <c r="A115" s="389"/>
      <c r="B115" s="381"/>
      <c r="C115" s="252"/>
      <c r="D115" s="404"/>
      <c r="E115" s="253"/>
      <c r="F115" s="405"/>
      <c r="G115" s="204"/>
      <c r="H115" s="204"/>
      <c r="I115" s="294"/>
      <c r="J115" s="229"/>
      <c r="K115" s="406"/>
      <c r="L115" s="295"/>
      <c r="M115" s="407"/>
      <c r="N115" s="408"/>
      <c r="O115" s="407"/>
      <c r="P115" s="408"/>
    </row>
    <row r="116" spans="1:16" s="419" customFormat="1" ht="25.5">
      <c r="A116" s="409" t="s">
        <v>55</v>
      </c>
      <c r="B116" s="410" t="s">
        <v>133</v>
      </c>
      <c r="C116" s="411"/>
      <c r="D116" s="412"/>
      <c r="E116" s="413"/>
      <c r="F116" s="414"/>
      <c r="G116" s="314"/>
      <c r="H116" s="314"/>
      <c r="I116" s="414"/>
      <c r="J116" s="412"/>
      <c r="K116" s="415"/>
      <c r="L116" s="416" t="e">
        <f>L117+L155+L142+L149</f>
        <v>#REF!</v>
      </c>
      <c r="M116" s="417" t="e">
        <f>M117+M155+M142+M149</f>
        <v>#REF!</v>
      </c>
      <c r="N116" s="418">
        <f>N117+N155+N142+N149</f>
        <v>97660889.13</v>
      </c>
      <c r="O116" s="417">
        <f>O117+O155+O142+O149</f>
        <v>33588984.01</v>
      </c>
      <c r="P116" s="418">
        <f>P117+P155+P142+P149</f>
        <v>34216831.13</v>
      </c>
    </row>
    <row r="117" spans="1:16" ht="12.75">
      <c r="A117" s="420" t="s">
        <v>109</v>
      </c>
      <c r="B117" s="381" t="s">
        <v>133</v>
      </c>
      <c r="C117" s="396" t="s">
        <v>94</v>
      </c>
      <c r="D117" s="398"/>
      <c r="E117" s="158"/>
      <c r="F117" s="159"/>
      <c r="G117" s="126"/>
      <c r="H117" s="126"/>
      <c r="I117" s="159"/>
      <c r="J117" s="398"/>
      <c r="K117" s="399"/>
      <c r="L117" s="421" t="e">
        <f>L118+L126+L131</f>
        <v>#REF!</v>
      </c>
      <c r="M117" s="422" t="e">
        <f>M118+M126+M131</f>
        <v>#REF!</v>
      </c>
      <c r="N117" s="423">
        <f>N118+N126+N131</f>
        <v>55680430.64</v>
      </c>
      <c r="O117" s="422">
        <f>O118+O126+O131</f>
        <v>16580430.64</v>
      </c>
      <c r="P117" s="423">
        <f>P118+P126+P131</f>
        <v>16580430.64</v>
      </c>
    </row>
    <row r="118" spans="1:16" ht="28.5" customHeight="1">
      <c r="A118" s="380" t="s">
        <v>130</v>
      </c>
      <c r="B118" s="424" t="s">
        <v>133</v>
      </c>
      <c r="C118" s="396" t="s">
        <v>94</v>
      </c>
      <c r="D118" s="398" t="s">
        <v>95</v>
      </c>
      <c r="E118" s="124"/>
      <c r="F118" s="126"/>
      <c r="G118" s="126"/>
      <c r="H118" s="126"/>
      <c r="I118" s="126"/>
      <c r="J118" s="128"/>
      <c r="K118" s="390"/>
      <c r="L118" s="154">
        <f aca="true" t="shared" si="26" ref="L118:N120">L119</f>
        <v>11946300</v>
      </c>
      <c r="M118" s="72">
        <f t="shared" si="26"/>
        <v>0</v>
      </c>
      <c r="N118" s="73">
        <f t="shared" si="26"/>
        <v>16580430.64</v>
      </c>
      <c r="O118" s="72">
        <f aca="true" t="shared" si="27" ref="O118:P120">O119</f>
        <v>16580430.64</v>
      </c>
      <c r="P118" s="73">
        <f t="shared" si="27"/>
        <v>16580430.64</v>
      </c>
    </row>
    <row r="119" spans="1:16" ht="25.5">
      <c r="A119" s="389" t="s">
        <v>379</v>
      </c>
      <c r="B119" s="424" t="s">
        <v>133</v>
      </c>
      <c r="C119" s="396" t="s">
        <v>94</v>
      </c>
      <c r="D119" s="398" t="s">
        <v>95</v>
      </c>
      <c r="E119" s="124" t="s">
        <v>128</v>
      </c>
      <c r="F119" s="126" t="s">
        <v>168</v>
      </c>
      <c r="G119" s="126" t="s">
        <v>168</v>
      </c>
      <c r="H119" s="126" t="s">
        <v>168</v>
      </c>
      <c r="I119" s="126" t="s">
        <v>169</v>
      </c>
      <c r="J119" s="128" t="s">
        <v>168</v>
      </c>
      <c r="K119" s="399"/>
      <c r="L119" s="279">
        <f t="shared" si="26"/>
        <v>11946300</v>
      </c>
      <c r="M119" s="387">
        <f t="shared" si="26"/>
        <v>0</v>
      </c>
      <c r="N119" s="388">
        <f t="shared" si="26"/>
        <v>16580430.64</v>
      </c>
      <c r="O119" s="387">
        <f t="shared" si="27"/>
        <v>16580430.64</v>
      </c>
      <c r="P119" s="388">
        <f t="shared" si="27"/>
        <v>16580430.64</v>
      </c>
    </row>
    <row r="120" spans="1:16" ht="25.5">
      <c r="A120" s="389" t="s">
        <v>191</v>
      </c>
      <c r="B120" s="424" t="s">
        <v>133</v>
      </c>
      <c r="C120" s="396" t="s">
        <v>94</v>
      </c>
      <c r="D120" s="398" t="s">
        <v>95</v>
      </c>
      <c r="E120" s="124" t="s">
        <v>128</v>
      </c>
      <c r="F120" s="126" t="s">
        <v>170</v>
      </c>
      <c r="G120" s="126" t="s">
        <v>168</v>
      </c>
      <c r="H120" s="126" t="s">
        <v>168</v>
      </c>
      <c r="I120" s="126" t="s">
        <v>169</v>
      </c>
      <c r="J120" s="128" t="s">
        <v>168</v>
      </c>
      <c r="K120" s="399"/>
      <c r="L120" s="279">
        <f t="shared" si="26"/>
        <v>11946300</v>
      </c>
      <c r="M120" s="387">
        <f t="shared" si="26"/>
        <v>0</v>
      </c>
      <c r="N120" s="388">
        <f t="shared" si="26"/>
        <v>16580430.64</v>
      </c>
      <c r="O120" s="387">
        <f t="shared" si="27"/>
        <v>16580430.64</v>
      </c>
      <c r="P120" s="388">
        <f t="shared" si="27"/>
        <v>16580430.64</v>
      </c>
    </row>
    <row r="121" spans="1:16" ht="25.5">
      <c r="A121" s="397" t="s">
        <v>40</v>
      </c>
      <c r="B121" s="424" t="s">
        <v>133</v>
      </c>
      <c r="C121" s="396" t="s">
        <v>94</v>
      </c>
      <c r="D121" s="398" t="s">
        <v>95</v>
      </c>
      <c r="E121" s="124" t="s">
        <v>128</v>
      </c>
      <c r="F121" s="126" t="s">
        <v>170</v>
      </c>
      <c r="G121" s="126" t="s">
        <v>168</v>
      </c>
      <c r="H121" s="126" t="s">
        <v>168</v>
      </c>
      <c r="I121" s="126" t="s">
        <v>36</v>
      </c>
      <c r="J121" s="128" t="s">
        <v>168</v>
      </c>
      <c r="K121" s="399"/>
      <c r="L121" s="279">
        <f>L122+L124</f>
        <v>11946300</v>
      </c>
      <c r="M121" s="387">
        <f>M122+M124</f>
        <v>0</v>
      </c>
      <c r="N121" s="388">
        <f>N122+N124</f>
        <v>16580430.64</v>
      </c>
      <c r="O121" s="387">
        <f>O122+O124</f>
        <v>16580430.64</v>
      </c>
      <c r="P121" s="388">
        <f>P122+P124</f>
        <v>16580430.64</v>
      </c>
    </row>
    <row r="122" spans="1:16" ht="51">
      <c r="A122" s="389" t="s">
        <v>92</v>
      </c>
      <c r="B122" s="424" t="s">
        <v>133</v>
      </c>
      <c r="C122" s="396" t="s">
        <v>94</v>
      </c>
      <c r="D122" s="398" t="s">
        <v>95</v>
      </c>
      <c r="E122" s="124" t="s">
        <v>128</v>
      </c>
      <c r="F122" s="126" t="s">
        <v>170</v>
      </c>
      <c r="G122" s="126" t="s">
        <v>168</v>
      </c>
      <c r="H122" s="126" t="s">
        <v>168</v>
      </c>
      <c r="I122" s="127" t="s">
        <v>36</v>
      </c>
      <c r="J122" s="128" t="s">
        <v>168</v>
      </c>
      <c r="K122" s="390">
        <v>100</v>
      </c>
      <c r="L122" s="154">
        <f>L123</f>
        <v>11547700</v>
      </c>
      <c r="M122" s="72">
        <f>M123</f>
        <v>0</v>
      </c>
      <c r="N122" s="73">
        <f>N123</f>
        <v>16181830.64</v>
      </c>
      <c r="O122" s="72">
        <f>O123</f>
        <v>16181830.64</v>
      </c>
      <c r="P122" s="73">
        <f>P123</f>
        <v>16181830.64</v>
      </c>
    </row>
    <row r="123" spans="1:16" ht="25.5">
      <c r="A123" s="389" t="s">
        <v>82</v>
      </c>
      <c r="B123" s="424" t="s">
        <v>133</v>
      </c>
      <c r="C123" s="396" t="s">
        <v>94</v>
      </c>
      <c r="D123" s="398" t="s">
        <v>95</v>
      </c>
      <c r="E123" s="124" t="s">
        <v>128</v>
      </c>
      <c r="F123" s="126" t="s">
        <v>170</v>
      </c>
      <c r="G123" s="126" t="s">
        <v>168</v>
      </c>
      <c r="H123" s="126" t="s">
        <v>168</v>
      </c>
      <c r="I123" s="127" t="s">
        <v>36</v>
      </c>
      <c r="J123" s="128" t="s">
        <v>168</v>
      </c>
      <c r="K123" s="390">
        <v>120</v>
      </c>
      <c r="L123" s="154">
        <v>11547700</v>
      </c>
      <c r="M123" s="72">
        <v>0</v>
      </c>
      <c r="N123" s="73">
        <f>12328595+130000+3723235.64</f>
        <v>16181830.64</v>
      </c>
      <c r="O123" s="72">
        <f>12328595+130000+3723235.64</f>
        <v>16181830.64</v>
      </c>
      <c r="P123" s="73">
        <f>12328595+130000+3723235.64</f>
        <v>16181830.64</v>
      </c>
    </row>
    <row r="124" spans="1:16" ht="25.5">
      <c r="A124" s="389" t="s">
        <v>73</v>
      </c>
      <c r="B124" s="424" t="s">
        <v>133</v>
      </c>
      <c r="C124" s="396" t="s">
        <v>94</v>
      </c>
      <c r="D124" s="398" t="s">
        <v>95</v>
      </c>
      <c r="E124" s="124" t="s">
        <v>128</v>
      </c>
      <c r="F124" s="126" t="s">
        <v>170</v>
      </c>
      <c r="G124" s="126" t="s">
        <v>168</v>
      </c>
      <c r="H124" s="126" t="s">
        <v>168</v>
      </c>
      <c r="I124" s="127" t="s">
        <v>36</v>
      </c>
      <c r="J124" s="128" t="s">
        <v>168</v>
      </c>
      <c r="K124" s="390">
        <v>200</v>
      </c>
      <c r="L124" s="154">
        <f>L125</f>
        <v>398600</v>
      </c>
      <c r="M124" s="72">
        <f>M125</f>
        <v>0</v>
      </c>
      <c r="N124" s="73">
        <f>N125</f>
        <v>398600</v>
      </c>
      <c r="O124" s="72">
        <f>O125</f>
        <v>398600</v>
      </c>
      <c r="P124" s="73">
        <f>P125</f>
        <v>398600</v>
      </c>
    </row>
    <row r="125" spans="1:16" ht="25.5">
      <c r="A125" s="389" t="s">
        <v>75</v>
      </c>
      <c r="B125" s="424" t="s">
        <v>133</v>
      </c>
      <c r="C125" s="396" t="s">
        <v>94</v>
      </c>
      <c r="D125" s="398" t="s">
        <v>95</v>
      </c>
      <c r="E125" s="124" t="s">
        <v>128</v>
      </c>
      <c r="F125" s="126" t="s">
        <v>170</v>
      </c>
      <c r="G125" s="126" t="s">
        <v>168</v>
      </c>
      <c r="H125" s="126" t="s">
        <v>168</v>
      </c>
      <c r="I125" s="127" t="s">
        <v>36</v>
      </c>
      <c r="J125" s="128" t="s">
        <v>168</v>
      </c>
      <c r="K125" s="390">
        <v>240</v>
      </c>
      <c r="L125" s="154">
        <v>398600</v>
      </c>
      <c r="M125" s="72">
        <v>0</v>
      </c>
      <c r="N125" s="73">
        <v>398600</v>
      </c>
      <c r="O125" s="72">
        <v>398600</v>
      </c>
      <c r="P125" s="73">
        <v>398600</v>
      </c>
    </row>
    <row r="126" spans="1:16" ht="12.75">
      <c r="A126" s="420" t="s">
        <v>107</v>
      </c>
      <c r="B126" s="424" t="s">
        <v>133</v>
      </c>
      <c r="C126" s="396" t="s">
        <v>94</v>
      </c>
      <c r="D126" s="398" t="s">
        <v>121</v>
      </c>
      <c r="E126" s="158"/>
      <c r="F126" s="159"/>
      <c r="G126" s="126"/>
      <c r="H126" s="126"/>
      <c r="I126" s="159"/>
      <c r="J126" s="398"/>
      <c r="K126" s="399"/>
      <c r="L126" s="421">
        <f aca="true" t="shared" si="28" ref="L126:N129">L127</f>
        <v>500000</v>
      </c>
      <c r="M126" s="422">
        <f t="shared" si="28"/>
        <v>0</v>
      </c>
      <c r="N126" s="423">
        <f t="shared" si="28"/>
        <v>100000</v>
      </c>
      <c r="O126" s="422">
        <f aca="true" t="shared" si="29" ref="O126:P129">O127</f>
        <v>0</v>
      </c>
      <c r="P126" s="423">
        <f t="shared" si="29"/>
        <v>0</v>
      </c>
    </row>
    <row r="127" spans="1:16" ht="12.75">
      <c r="A127" s="389" t="s">
        <v>382</v>
      </c>
      <c r="B127" s="424" t="s">
        <v>133</v>
      </c>
      <c r="C127" s="396" t="s">
        <v>94</v>
      </c>
      <c r="D127" s="398" t="s">
        <v>121</v>
      </c>
      <c r="E127" s="152" t="s">
        <v>11</v>
      </c>
      <c r="F127" s="153" t="s">
        <v>168</v>
      </c>
      <c r="G127" s="126" t="s">
        <v>168</v>
      </c>
      <c r="H127" s="126" t="s">
        <v>168</v>
      </c>
      <c r="I127" s="153" t="s">
        <v>169</v>
      </c>
      <c r="J127" s="128" t="s">
        <v>168</v>
      </c>
      <c r="K127" s="400"/>
      <c r="L127" s="154">
        <f t="shared" si="28"/>
        <v>500000</v>
      </c>
      <c r="M127" s="72">
        <f t="shared" si="28"/>
        <v>0</v>
      </c>
      <c r="N127" s="73">
        <f t="shared" si="28"/>
        <v>100000</v>
      </c>
      <c r="O127" s="72">
        <f t="shared" si="29"/>
        <v>0</v>
      </c>
      <c r="P127" s="73">
        <f t="shared" si="29"/>
        <v>0</v>
      </c>
    </row>
    <row r="128" spans="1:16" ht="12.75">
      <c r="A128" s="389" t="s">
        <v>382</v>
      </c>
      <c r="B128" s="424" t="s">
        <v>133</v>
      </c>
      <c r="C128" s="396" t="s">
        <v>94</v>
      </c>
      <c r="D128" s="398" t="s">
        <v>121</v>
      </c>
      <c r="E128" s="124" t="s">
        <v>11</v>
      </c>
      <c r="F128" s="126" t="s">
        <v>168</v>
      </c>
      <c r="G128" s="126" t="s">
        <v>168</v>
      </c>
      <c r="H128" s="126" t="s">
        <v>168</v>
      </c>
      <c r="I128" s="126" t="s">
        <v>23</v>
      </c>
      <c r="J128" s="128" t="s">
        <v>168</v>
      </c>
      <c r="K128" s="390"/>
      <c r="L128" s="154">
        <f t="shared" si="28"/>
        <v>500000</v>
      </c>
      <c r="M128" s="72">
        <f t="shared" si="28"/>
        <v>0</v>
      </c>
      <c r="N128" s="73">
        <f t="shared" si="28"/>
        <v>100000</v>
      </c>
      <c r="O128" s="72">
        <f t="shared" si="29"/>
        <v>0</v>
      </c>
      <c r="P128" s="73">
        <f t="shared" si="29"/>
        <v>0</v>
      </c>
    </row>
    <row r="129" spans="1:16" ht="12.75">
      <c r="A129" s="389" t="s">
        <v>83</v>
      </c>
      <c r="B129" s="424" t="s">
        <v>133</v>
      </c>
      <c r="C129" s="396" t="s">
        <v>94</v>
      </c>
      <c r="D129" s="398" t="s">
        <v>121</v>
      </c>
      <c r="E129" s="124" t="s">
        <v>11</v>
      </c>
      <c r="F129" s="126" t="s">
        <v>168</v>
      </c>
      <c r="G129" s="126" t="s">
        <v>168</v>
      </c>
      <c r="H129" s="126" t="s">
        <v>168</v>
      </c>
      <c r="I129" s="126" t="s">
        <v>23</v>
      </c>
      <c r="J129" s="128" t="s">
        <v>168</v>
      </c>
      <c r="K129" s="390" t="s">
        <v>84</v>
      </c>
      <c r="L129" s="154">
        <f t="shared" si="28"/>
        <v>500000</v>
      </c>
      <c r="M129" s="72">
        <f t="shared" si="28"/>
        <v>0</v>
      </c>
      <c r="N129" s="73">
        <f t="shared" si="28"/>
        <v>100000</v>
      </c>
      <c r="O129" s="72">
        <f t="shared" si="29"/>
        <v>0</v>
      </c>
      <c r="P129" s="73">
        <f t="shared" si="29"/>
        <v>0</v>
      </c>
    </row>
    <row r="130" spans="1:16" ht="12.75">
      <c r="A130" s="389" t="s">
        <v>71</v>
      </c>
      <c r="B130" s="424" t="s">
        <v>133</v>
      </c>
      <c r="C130" s="396" t="s">
        <v>94</v>
      </c>
      <c r="D130" s="398" t="s">
        <v>121</v>
      </c>
      <c r="E130" s="124" t="s">
        <v>11</v>
      </c>
      <c r="F130" s="126" t="s">
        <v>168</v>
      </c>
      <c r="G130" s="126" t="s">
        <v>168</v>
      </c>
      <c r="H130" s="126" t="s">
        <v>168</v>
      </c>
      <c r="I130" s="126" t="s">
        <v>23</v>
      </c>
      <c r="J130" s="128" t="s">
        <v>168</v>
      </c>
      <c r="K130" s="390">
        <v>870</v>
      </c>
      <c r="L130" s="154">
        <v>500000</v>
      </c>
      <c r="M130" s="72">
        <v>0</v>
      </c>
      <c r="N130" s="73">
        <v>100000</v>
      </c>
      <c r="O130" s="72">
        <v>0</v>
      </c>
      <c r="P130" s="73">
        <v>0</v>
      </c>
    </row>
    <row r="131" spans="1:17" ht="12.75">
      <c r="A131" s="380" t="s">
        <v>124</v>
      </c>
      <c r="B131" s="424" t="s">
        <v>133</v>
      </c>
      <c r="C131" s="382" t="s">
        <v>94</v>
      </c>
      <c r="D131" s="183" t="s">
        <v>147</v>
      </c>
      <c r="E131" s="198"/>
      <c r="F131" s="199"/>
      <c r="G131" s="126"/>
      <c r="H131" s="126"/>
      <c r="I131" s="199"/>
      <c r="J131" s="183"/>
      <c r="K131" s="393"/>
      <c r="L131" s="421" t="e">
        <f>#REF!</f>
        <v>#REF!</v>
      </c>
      <c r="M131" s="422" t="e">
        <f>#REF!</f>
        <v>#REF!</v>
      </c>
      <c r="N131" s="423">
        <f>N132</f>
        <v>39000000</v>
      </c>
      <c r="O131" s="422">
        <f>O132</f>
        <v>0</v>
      </c>
      <c r="P131" s="423">
        <f>P132</f>
        <v>0</v>
      </c>
      <c r="Q131" s="421"/>
    </row>
    <row r="132" spans="1:16" ht="12.75">
      <c r="A132" s="401" t="s">
        <v>71</v>
      </c>
      <c r="B132" s="424" t="s">
        <v>133</v>
      </c>
      <c r="C132" s="382" t="s">
        <v>94</v>
      </c>
      <c r="D132" s="183" t="s">
        <v>147</v>
      </c>
      <c r="E132" s="124" t="s">
        <v>360</v>
      </c>
      <c r="F132" s="126" t="s">
        <v>168</v>
      </c>
      <c r="G132" s="126" t="s">
        <v>168</v>
      </c>
      <c r="H132" s="126" t="s">
        <v>168</v>
      </c>
      <c r="I132" s="126" t="s">
        <v>169</v>
      </c>
      <c r="J132" s="128" t="s">
        <v>168</v>
      </c>
      <c r="K132" s="390"/>
      <c r="L132" s="154">
        <f>L136</f>
        <v>300000</v>
      </c>
      <c r="M132" s="72">
        <f>M136</f>
        <v>0</v>
      </c>
      <c r="N132" s="73">
        <f>N136+N139+N133</f>
        <v>39000000</v>
      </c>
      <c r="O132" s="72">
        <f>O136+O139+O133</f>
        <v>0</v>
      </c>
      <c r="P132" s="73">
        <f>P136+P139+P133</f>
        <v>0</v>
      </c>
    </row>
    <row r="133" spans="1:16" ht="25.5">
      <c r="A133" s="401" t="s">
        <v>258</v>
      </c>
      <c r="B133" s="424" t="s">
        <v>133</v>
      </c>
      <c r="C133" s="382" t="s">
        <v>94</v>
      </c>
      <c r="D133" s="183" t="s">
        <v>147</v>
      </c>
      <c r="E133" s="124" t="s">
        <v>360</v>
      </c>
      <c r="F133" s="126" t="s">
        <v>168</v>
      </c>
      <c r="G133" s="126" t="s">
        <v>168</v>
      </c>
      <c r="H133" s="126" t="s">
        <v>168</v>
      </c>
      <c r="I133" s="159" t="s">
        <v>257</v>
      </c>
      <c r="J133" s="128" t="s">
        <v>168</v>
      </c>
      <c r="K133" s="425"/>
      <c r="L133" s="154">
        <f aca="true" t="shared" si="30" ref="L133:N140">L134</f>
        <v>300000</v>
      </c>
      <c r="M133" s="72">
        <f t="shared" si="30"/>
        <v>0</v>
      </c>
      <c r="N133" s="73">
        <f t="shared" si="30"/>
        <v>300000</v>
      </c>
      <c r="O133" s="72">
        <f aca="true" t="shared" si="31" ref="O133:P140">O134</f>
        <v>0</v>
      </c>
      <c r="P133" s="73">
        <f t="shared" si="31"/>
        <v>0</v>
      </c>
    </row>
    <row r="134" spans="1:16" ht="12.75">
      <c r="A134" s="389" t="s">
        <v>83</v>
      </c>
      <c r="B134" s="424" t="s">
        <v>133</v>
      </c>
      <c r="C134" s="382" t="s">
        <v>94</v>
      </c>
      <c r="D134" s="183" t="s">
        <v>147</v>
      </c>
      <c r="E134" s="124" t="s">
        <v>360</v>
      </c>
      <c r="F134" s="126" t="s">
        <v>168</v>
      </c>
      <c r="G134" s="126" t="s">
        <v>168</v>
      </c>
      <c r="H134" s="126" t="s">
        <v>168</v>
      </c>
      <c r="I134" s="126" t="s">
        <v>257</v>
      </c>
      <c r="J134" s="128" t="s">
        <v>168</v>
      </c>
      <c r="K134" s="390" t="s">
        <v>84</v>
      </c>
      <c r="L134" s="154">
        <f t="shared" si="30"/>
        <v>300000</v>
      </c>
      <c r="M134" s="72">
        <f t="shared" si="30"/>
        <v>0</v>
      </c>
      <c r="N134" s="73">
        <f t="shared" si="30"/>
        <v>300000</v>
      </c>
      <c r="O134" s="72">
        <f t="shared" si="31"/>
        <v>0</v>
      </c>
      <c r="P134" s="73">
        <f t="shared" si="31"/>
        <v>0</v>
      </c>
    </row>
    <row r="135" spans="1:16" ht="12.75">
      <c r="A135" s="389" t="s">
        <v>71</v>
      </c>
      <c r="B135" s="424" t="s">
        <v>133</v>
      </c>
      <c r="C135" s="382" t="s">
        <v>94</v>
      </c>
      <c r="D135" s="183" t="s">
        <v>147</v>
      </c>
      <c r="E135" s="124" t="s">
        <v>360</v>
      </c>
      <c r="F135" s="126" t="s">
        <v>168</v>
      </c>
      <c r="G135" s="126" t="s">
        <v>168</v>
      </c>
      <c r="H135" s="126" t="s">
        <v>168</v>
      </c>
      <c r="I135" s="126" t="s">
        <v>257</v>
      </c>
      <c r="J135" s="128" t="s">
        <v>168</v>
      </c>
      <c r="K135" s="390" t="s">
        <v>252</v>
      </c>
      <c r="L135" s="154">
        <v>300000</v>
      </c>
      <c r="M135" s="72">
        <v>0</v>
      </c>
      <c r="N135" s="73">
        <v>300000</v>
      </c>
      <c r="O135" s="72">
        <v>0</v>
      </c>
      <c r="P135" s="73">
        <v>0</v>
      </c>
    </row>
    <row r="136" spans="1:16" ht="25.5">
      <c r="A136" s="401" t="s">
        <v>364</v>
      </c>
      <c r="B136" s="424" t="s">
        <v>133</v>
      </c>
      <c r="C136" s="382" t="s">
        <v>94</v>
      </c>
      <c r="D136" s="183" t="s">
        <v>147</v>
      </c>
      <c r="E136" s="124" t="s">
        <v>360</v>
      </c>
      <c r="F136" s="126" t="s">
        <v>168</v>
      </c>
      <c r="G136" s="126" t="s">
        <v>168</v>
      </c>
      <c r="H136" s="126" t="s">
        <v>168</v>
      </c>
      <c r="I136" s="159" t="s">
        <v>361</v>
      </c>
      <c r="J136" s="128" t="s">
        <v>168</v>
      </c>
      <c r="K136" s="425"/>
      <c r="L136" s="154">
        <f t="shared" si="30"/>
        <v>300000</v>
      </c>
      <c r="M136" s="72">
        <f t="shared" si="30"/>
        <v>0</v>
      </c>
      <c r="N136" s="73">
        <f t="shared" si="30"/>
        <v>35700000</v>
      </c>
      <c r="O136" s="72">
        <f t="shared" si="31"/>
        <v>0</v>
      </c>
      <c r="P136" s="73">
        <f t="shared" si="31"/>
        <v>0</v>
      </c>
    </row>
    <row r="137" spans="1:16" ht="12.75">
      <c r="A137" s="389" t="s">
        <v>83</v>
      </c>
      <c r="B137" s="424" t="s">
        <v>133</v>
      </c>
      <c r="C137" s="382" t="s">
        <v>94</v>
      </c>
      <c r="D137" s="183" t="s">
        <v>147</v>
      </c>
      <c r="E137" s="124" t="s">
        <v>360</v>
      </c>
      <c r="F137" s="126" t="s">
        <v>168</v>
      </c>
      <c r="G137" s="126" t="s">
        <v>168</v>
      </c>
      <c r="H137" s="126" t="s">
        <v>168</v>
      </c>
      <c r="I137" s="159" t="s">
        <v>361</v>
      </c>
      <c r="J137" s="128" t="s">
        <v>168</v>
      </c>
      <c r="K137" s="390" t="s">
        <v>84</v>
      </c>
      <c r="L137" s="154">
        <f t="shared" si="30"/>
        <v>300000</v>
      </c>
      <c r="M137" s="72">
        <f t="shared" si="30"/>
        <v>0</v>
      </c>
      <c r="N137" s="73">
        <f t="shared" si="30"/>
        <v>35700000</v>
      </c>
      <c r="O137" s="72">
        <f t="shared" si="31"/>
        <v>0</v>
      </c>
      <c r="P137" s="73">
        <f t="shared" si="31"/>
        <v>0</v>
      </c>
    </row>
    <row r="138" spans="1:16" ht="12.75">
      <c r="A138" s="389" t="s">
        <v>71</v>
      </c>
      <c r="B138" s="424" t="s">
        <v>133</v>
      </c>
      <c r="C138" s="382" t="s">
        <v>94</v>
      </c>
      <c r="D138" s="183" t="s">
        <v>147</v>
      </c>
      <c r="E138" s="124" t="s">
        <v>360</v>
      </c>
      <c r="F138" s="126" t="s">
        <v>168</v>
      </c>
      <c r="G138" s="126" t="s">
        <v>168</v>
      </c>
      <c r="H138" s="126" t="s">
        <v>168</v>
      </c>
      <c r="I138" s="159" t="s">
        <v>361</v>
      </c>
      <c r="J138" s="128" t="s">
        <v>168</v>
      </c>
      <c r="K138" s="390" t="s">
        <v>252</v>
      </c>
      <c r="L138" s="154">
        <v>300000</v>
      </c>
      <c r="M138" s="72">
        <v>0</v>
      </c>
      <c r="N138" s="73">
        <v>35700000</v>
      </c>
      <c r="O138" s="72">
        <v>0</v>
      </c>
      <c r="P138" s="73">
        <v>0</v>
      </c>
    </row>
    <row r="139" spans="1:16" ht="38.25">
      <c r="A139" s="401" t="s">
        <v>365</v>
      </c>
      <c r="B139" s="424" t="s">
        <v>133</v>
      </c>
      <c r="C139" s="382" t="s">
        <v>94</v>
      </c>
      <c r="D139" s="183" t="s">
        <v>147</v>
      </c>
      <c r="E139" s="124" t="s">
        <v>360</v>
      </c>
      <c r="F139" s="126" t="s">
        <v>168</v>
      </c>
      <c r="G139" s="126" t="s">
        <v>168</v>
      </c>
      <c r="H139" s="126" t="s">
        <v>168</v>
      </c>
      <c r="I139" s="159" t="s">
        <v>363</v>
      </c>
      <c r="J139" s="128" t="s">
        <v>168</v>
      </c>
      <c r="K139" s="425"/>
      <c r="L139" s="154">
        <f t="shared" si="30"/>
        <v>300000</v>
      </c>
      <c r="M139" s="72">
        <f t="shared" si="30"/>
        <v>0</v>
      </c>
      <c r="N139" s="73">
        <f t="shared" si="30"/>
        <v>3000000</v>
      </c>
      <c r="O139" s="72">
        <f t="shared" si="31"/>
        <v>0</v>
      </c>
      <c r="P139" s="73">
        <f t="shared" si="31"/>
        <v>0</v>
      </c>
    </row>
    <row r="140" spans="1:16" ht="12.75">
      <c r="A140" s="389" t="s">
        <v>83</v>
      </c>
      <c r="B140" s="424" t="s">
        <v>133</v>
      </c>
      <c r="C140" s="382" t="s">
        <v>94</v>
      </c>
      <c r="D140" s="183" t="s">
        <v>147</v>
      </c>
      <c r="E140" s="124" t="s">
        <v>360</v>
      </c>
      <c r="F140" s="126" t="s">
        <v>168</v>
      </c>
      <c r="G140" s="126" t="s">
        <v>168</v>
      </c>
      <c r="H140" s="126" t="s">
        <v>168</v>
      </c>
      <c r="I140" s="159" t="s">
        <v>363</v>
      </c>
      <c r="J140" s="128" t="s">
        <v>168</v>
      </c>
      <c r="K140" s="390" t="s">
        <v>84</v>
      </c>
      <c r="L140" s="154">
        <f t="shared" si="30"/>
        <v>300000</v>
      </c>
      <c r="M140" s="72">
        <f t="shared" si="30"/>
        <v>0</v>
      </c>
      <c r="N140" s="73">
        <f t="shared" si="30"/>
        <v>3000000</v>
      </c>
      <c r="O140" s="72">
        <f t="shared" si="31"/>
        <v>0</v>
      </c>
      <c r="P140" s="73">
        <f t="shared" si="31"/>
        <v>0</v>
      </c>
    </row>
    <row r="141" spans="1:16" ht="12.75">
      <c r="A141" s="389" t="s">
        <v>71</v>
      </c>
      <c r="B141" s="424" t="s">
        <v>133</v>
      </c>
      <c r="C141" s="382" t="s">
        <v>94</v>
      </c>
      <c r="D141" s="183" t="s">
        <v>147</v>
      </c>
      <c r="E141" s="124" t="s">
        <v>360</v>
      </c>
      <c r="F141" s="126" t="s">
        <v>168</v>
      </c>
      <c r="G141" s="126" t="s">
        <v>168</v>
      </c>
      <c r="H141" s="126" t="s">
        <v>168</v>
      </c>
      <c r="I141" s="159" t="s">
        <v>363</v>
      </c>
      <c r="J141" s="128" t="s">
        <v>168</v>
      </c>
      <c r="K141" s="390" t="s">
        <v>252</v>
      </c>
      <c r="L141" s="154">
        <v>300000</v>
      </c>
      <c r="M141" s="72">
        <v>0</v>
      </c>
      <c r="N141" s="73">
        <v>3000000</v>
      </c>
      <c r="O141" s="72">
        <v>0</v>
      </c>
      <c r="P141" s="73">
        <v>0</v>
      </c>
    </row>
    <row r="142" spans="1:16" ht="12.75">
      <c r="A142" s="380" t="s">
        <v>148</v>
      </c>
      <c r="B142" s="381" t="s">
        <v>133</v>
      </c>
      <c r="C142" s="382" t="s">
        <v>101</v>
      </c>
      <c r="D142" s="183"/>
      <c r="E142" s="198"/>
      <c r="F142" s="199"/>
      <c r="G142" s="126"/>
      <c r="H142" s="126"/>
      <c r="I142" s="199"/>
      <c r="J142" s="183"/>
      <c r="K142" s="393"/>
      <c r="L142" s="421">
        <f aca="true" t="shared" si="32" ref="L142:P143">L143</f>
        <v>2830921.54</v>
      </c>
      <c r="M142" s="422">
        <f t="shared" si="32"/>
        <v>0</v>
      </c>
      <c r="N142" s="423">
        <f t="shared" si="32"/>
        <v>3881798.09</v>
      </c>
      <c r="O142" s="422">
        <f t="shared" si="32"/>
        <v>4068008.97</v>
      </c>
      <c r="P142" s="423">
        <f t="shared" si="32"/>
        <v>4188883.21</v>
      </c>
    </row>
    <row r="143" spans="1:16" ht="12.75">
      <c r="A143" s="401" t="s">
        <v>149</v>
      </c>
      <c r="B143" s="381" t="s">
        <v>133</v>
      </c>
      <c r="C143" s="382" t="s">
        <v>101</v>
      </c>
      <c r="D143" s="183" t="s">
        <v>97</v>
      </c>
      <c r="E143" s="198"/>
      <c r="F143" s="199"/>
      <c r="G143" s="126"/>
      <c r="H143" s="126"/>
      <c r="I143" s="199"/>
      <c r="J143" s="183"/>
      <c r="K143" s="393"/>
      <c r="L143" s="421">
        <f t="shared" si="32"/>
        <v>2830921.54</v>
      </c>
      <c r="M143" s="422">
        <f t="shared" si="32"/>
        <v>0</v>
      </c>
      <c r="N143" s="423">
        <f t="shared" si="32"/>
        <v>3881798.09</v>
      </c>
      <c r="O143" s="422">
        <f t="shared" si="32"/>
        <v>4068008.97</v>
      </c>
      <c r="P143" s="423">
        <f t="shared" si="32"/>
        <v>4188883.21</v>
      </c>
    </row>
    <row r="144" spans="1:16" ht="25.5">
      <c r="A144" s="389" t="s">
        <v>379</v>
      </c>
      <c r="B144" s="381" t="s">
        <v>133</v>
      </c>
      <c r="C144" s="382" t="s">
        <v>101</v>
      </c>
      <c r="D144" s="183" t="s">
        <v>97</v>
      </c>
      <c r="E144" s="124" t="s">
        <v>128</v>
      </c>
      <c r="F144" s="126" t="s">
        <v>168</v>
      </c>
      <c r="G144" s="126" t="s">
        <v>168</v>
      </c>
      <c r="H144" s="126" t="s">
        <v>168</v>
      </c>
      <c r="I144" s="126" t="s">
        <v>169</v>
      </c>
      <c r="J144" s="128" t="s">
        <v>168</v>
      </c>
      <c r="K144" s="390"/>
      <c r="L144" s="154">
        <f>L146</f>
        <v>2830921.54</v>
      </c>
      <c r="M144" s="72">
        <f>M146</f>
        <v>0</v>
      </c>
      <c r="N144" s="73">
        <f>N146</f>
        <v>3881798.09</v>
      </c>
      <c r="O144" s="72">
        <f>O146</f>
        <v>4068008.97</v>
      </c>
      <c r="P144" s="73">
        <f>P146</f>
        <v>4188883.21</v>
      </c>
    </row>
    <row r="145" spans="1:16" ht="38.25">
      <c r="A145" s="389" t="s">
        <v>190</v>
      </c>
      <c r="B145" s="381" t="s">
        <v>133</v>
      </c>
      <c r="C145" s="382" t="s">
        <v>101</v>
      </c>
      <c r="D145" s="183" t="s">
        <v>97</v>
      </c>
      <c r="E145" s="124" t="s">
        <v>128</v>
      </c>
      <c r="F145" s="126" t="s">
        <v>166</v>
      </c>
      <c r="G145" s="126" t="s">
        <v>168</v>
      </c>
      <c r="H145" s="126" t="s">
        <v>168</v>
      </c>
      <c r="I145" s="126" t="s">
        <v>169</v>
      </c>
      <c r="J145" s="128" t="s">
        <v>168</v>
      </c>
      <c r="K145" s="390"/>
      <c r="L145" s="154">
        <f aca="true" t="shared" si="33" ref="L145:N147">L146</f>
        <v>2830921.54</v>
      </c>
      <c r="M145" s="72">
        <f t="shared" si="33"/>
        <v>0</v>
      </c>
      <c r="N145" s="73">
        <f t="shared" si="33"/>
        <v>3881798.09</v>
      </c>
      <c r="O145" s="72">
        <f aca="true" t="shared" si="34" ref="O145:P147">O146</f>
        <v>4068008.97</v>
      </c>
      <c r="P145" s="73">
        <f t="shared" si="34"/>
        <v>4188883.21</v>
      </c>
    </row>
    <row r="146" spans="1:16" ht="32.25" customHeight="1">
      <c r="A146" s="389" t="s">
        <v>341</v>
      </c>
      <c r="B146" s="381" t="s">
        <v>133</v>
      </c>
      <c r="C146" s="382" t="s">
        <v>101</v>
      </c>
      <c r="D146" s="183" t="s">
        <v>97</v>
      </c>
      <c r="E146" s="124" t="s">
        <v>128</v>
      </c>
      <c r="F146" s="126" t="s">
        <v>166</v>
      </c>
      <c r="G146" s="126" t="s">
        <v>168</v>
      </c>
      <c r="H146" s="126" t="s">
        <v>168</v>
      </c>
      <c r="I146" s="126" t="s">
        <v>32</v>
      </c>
      <c r="J146" s="128" t="s">
        <v>168</v>
      </c>
      <c r="K146" s="390"/>
      <c r="L146" s="154">
        <f t="shared" si="33"/>
        <v>2830921.54</v>
      </c>
      <c r="M146" s="72">
        <f t="shared" si="33"/>
        <v>0</v>
      </c>
      <c r="N146" s="73">
        <f t="shared" si="33"/>
        <v>3881798.09</v>
      </c>
      <c r="O146" s="72">
        <f t="shared" si="34"/>
        <v>4068008.97</v>
      </c>
      <c r="P146" s="73">
        <f t="shared" si="34"/>
        <v>4188883.21</v>
      </c>
    </row>
    <row r="147" spans="1:16" ht="21" customHeight="1">
      <c r="A147" s="389" t="s">
        <v>127</v>
      </c>
      <c r="B147" s="381" t="s">
        <v>133</v>
      </c>
      <c r="C147" s="382" t="s">
        <v>101</v>
      </c>
      <c r="D147" s="183" t="s">
        <v>97</v>
      </c>
      <c r="E147" s="124" t="s">
        <v>128</v>
      </c>
      <c r="F147" s="126" t="s">
        <v>166</v>
      </c>
      <c r="G147" s="126" t="s">
        <v>168</v>
      </c>
      <c r="H147" s="126" t="s">
        <v>168</v>
      </c>
      <c r="I147" s="126" t="s">
        <v>32</v>
      </c>
      <c r="J147" s="128" t="s">
        <v>168</v>
      </c>
      <c r="K147" s="390" t="s">
        <v>140</v>
      </c>
      <c r="L147" s="154">
        <f t="shared" si="33"/>
        <v>2830921.54</v>
      </c>
      <c r="M147" s="72">
        <f t="shared" si="33"/>
        <v>0</v>
      </c>
      <c r="N147" s="73">
        <f t="shared" si="33"/>
        <v>3881798.09</v>
      </c>
      <c r="O147" s="72">
        <f t="shared" si="34"/>
        <v>4068008.97</v>
      </c>
      <c r="P147" s="73">
        <f t="shared" si="34"/>
        <v>4188883.21</v>
      </c>
    </row>
    <row r="148" spans="1:16" ht="12.75">
      <c r="A148" s="389" t="s">
        <v>88</v>
      </c>
      <c r="B148" s="381" t="s">
        <v>133</v>
      </c>
      <c r="C148" s="382" t="s">
        <v>101</v>
      </c>
      <c r="D148" s="183" t="s">
        <v>97</v>
      </c>
      <c r="E148" s="124" t="s">
        <v>128</v>
      </c>
      <c r="F148" s="126" t="s">
        <v>166</v>
      </c>
      <c r="G148" s="126" t="s">
        <v>168</v>
      </c>
      <c r="H148" s="126" t="s">
        <v>168</v>
      </c>
      <c r="I148" s="126" t="s">
        <v>32</v>
      </c>
      <c r="J148" s="128" t="s">
        <v>168</v>
      </c>
      <c r="K148" s="390" t="s">
        <v>89</v>
      </c>
      <c r="L148" s="154">
        <v>2830921.54</v>
      </c>
      <c r="M148" s="72">
        <v>0</v>
      </c>
      <c r="N148" s="73">
        <v>3881798.09</v>
      </c>
      <c r="O148" s="72">
        <v>4068008.97</v>
      </c>
      <c r="P148" s="73">
        <v>4188883.21</v>
      </c>
    </row>
    <row r="149" spans="1:16" ht="12.75">
      <c r="A149" s="380" t="s">
        <v>110</v>
      </c>
      <c r="B149" s="424" t="s">
        <v>133</v>
      </c>
      <c r="C149" s="396" t="s">
        <v>97</v>
      </c>
      <c r="D149" s="398"/>
      <c r="E149" s="158"/>
      <c r="F149" s="159"/>
      <c r="G149" s="126"/>
      <c r="H149" s="126"/>
      <c r="I149" s="159"/>
      <c r="J149" s="398"/>
      <c r="K149" s="399"/>
      <c r="L149" s="421">
        <f aca="true" t="shared" si="35" ref="L149:N153">L150</f>
        <v>1000000</v>
      </c>
      <c r="M149" s="422">
        <f t="shared" si="35"/>
        <v>0</v>
      </c>
      <c r="N149" s="423">
        <f t="shared" si="35"/>
        <v>200000</v>
      </c>
      <c r="O149" s="422">
        <f aca="true" t="shared" si="36" ref="O149:P153">O150</f>
        <v>0</v>
      </c>
      <c r="P149" s="423">
        <f t="shared" si="36"/>
        <v>0</v>
      </c>
    </row>
    <row r="150" spans="1:16" ht="25.5">
      <c r="A150" s="401" t="s">
        <v>291</v>
      </c>
      <c r="B150" s="424" t="s">
        <v>133</v>
      </c>
      <c r="C150" s="396" t="s">
        <v>97</v>
      </c>
      <c r="D150" s="398" t="s">
        <v>113</v>
      </c>
      <c r="E150" s="198"/>
      <c r="F150" s="199"/>
      <c r="G150" s="126"/>
      <c r="H150" s="126"/>
      <c r="I150" s="199"/>
      <c r="J150" s="183"/>
      <c r="K150" s="393"/>
      <c r="L150" s="421">
        <f t="shared" si="35"/>
        <v>1000000</v>
      </c>
      <c r="M150" s="422">
        <f t="shared" si="35"/>
        <v>0</v>
      </c>
      <c r="N150" s="423">
        <f t="shared" si="35"/>
        <v>200000</v>
      </c>
      <c r="O150" s="422">
        <f t="shared" si="36"/>
        <v>0</v>
      </c>
      <c r="P150" s="423">
        <f t="shared" si="36"/>
        <v>0</v>
      </c>
    </row>
    <row r="151" spans="1:16" ht="39" customHeight="1">
      <c r="A151" s="389" t="s">
        <v>47</v>
      </c>
      <c r="B151" s="424" t="s">
        <v>133</v>
      </c>
      <c r="C151" s="396" t="s">
        <v>97</v>
      </c>
      <c r="D151" s="398" t="s">
        <v>113</v>
      </c>
      <c r="E151" s="124" t="s">
        <v>34</v>
      </c>
      <c r="F151" s="126" t="s">
        <v>168</v>
      </c>
      <c r="G151" s="126" t="s">
        <v>168</v>
      </c>
      <c r="H151" s="126" t="s">
        <v>168</v>
      </c>
      <c r="I151" s="126" t="s">
        <v>169</v>
      </c>
      <c r="J151" s="128" t="s">
        <v>168</v>
      </c>
      <c r="K151" s="390"/>
      <c r="L151" s="154">
        <f t="shared" si="35"/>
        <v>1000000</v>
      </c>
      <c r="M151" s="72">
        <f t="shared" si="35"/>
        <v>0</v>
      </c>
      <c r="N151" s="73">
        <f t="shared" si="35"/>
        <v>200000</v>
      </c>
      <c r="O151" s="72">
        <f t="shared" si="36"/>
        <v>0</v>
      </c>
      <c r="P151" s="73">
        <f t="shared" si="36"/>
        <v>0</v>
      </c>
    </row>
    <row r="152" spans="1:16" ht="45.75" customHeight="1">
      <c r="A152" s="389" t="s">
        <v>296</v>
      </c>
      <c r="B152" s="424" t="s">
        <v>133</v>
      </c>
      <c r="C152" s="396" t="s">
        <v>97</v>
      </c>
      <c r="D152" s="398" t="s">
        <v>113</v>
      </c>
      <c r="E152" s="124" t="s">
        <v>34</v>
      </c>
      <c r="F152" s="126" t="s">
        <v>168</v>
      </c>
      <c r="G152" s="126" t="s">
        <v>168</v>
      </c>
      <c r="H152" s="126" t="s">
        <v>168</v>
      </c>
      <c r="I152" s="126" t="s">
        <v>25</v>
      </c>
      <c r="J152" s="128" t="s">
        <v>168</v>
      </c>
      <c r="K152" s="390"/>
      <c r="L152" s="154">
        <f t="shared" si="35"/>
        <v>1000000</v>
      </c>
      <c r="M152" s="72">
        <f t="shared" si="35"/>
        <v>0</v>
      </c>
      <c r="N152" s="73">
        <f t="shared" si="35"/>
        <v>200000</v>
      </c>
      <c r="O152" s="72">
        <f t="shared" si="36"/>
        <v>0</v>
      </c>
      <c r="P152" s="73">
        <f t="shared" si="36"/>
        <v>0</v>
      </c>
    </row>
    <row r="153" spans="1:16" ht="12.75">
      <c r="A153" s="389" t="s">
        <v>83</v>
      </c>
      <c r="B153" s="424" t="s">
        <v>133</v>
      </c>
      <c r="C153" s="396" t="s">
        <v>97</v>
      </c>
      <c r="D153" s="398" t="s">
        <v>113</v>
      </c>
      <c r="E153" s="124" t="s">
        <v>34</v>
      </c>
      <c r="F153" s="126" t="s">
        <v>168</v>
      </c>
      <c r="G153" s="126" t="s">
        <v>168</v>
      </c>
      <c r="H153" s="126" t="s">
        <v>168</v>
      </c>
      <c r="I153" s="126" t="s">
        <v>25</v>
      </c>
      <c r="J153" s="128" t="s">
        <v>168</v>
      </c>
      <c r="K153" s="390" t="s">
        <v>84</v>
      </c>
      <c r="L153" s="154">
        <f t="shared" si="35"/>
        <v>1000000</v>
      </c>
      <c r="M153" s="72">
        <f t="shared" si="35"/>
        <v>0</v>
      </c>
      <c r="N153" s="73">
        <f t="shared" si="35"/>
        <v>200000</v>
      </c>
      <c r="O153" s="72">
        <f t="shared" si="36"/>
        <v>0</v>
      </c>
      <c r="P153" s="73">
        <f t="shared" si="36"/>
        <v>0</v>
      </c>
    </row>
    <row r="154" spans="1:16" ht="18.75" customHeight="1">
      <c r="A154" s="389" t="s">
        <v>71</v>
      </c>
      <c r="B154" s="424" t="s">
        <v>133</v>
      </c>
      <c r="C154" s="396" t="s">
        <v>97</v>
      </c>
      <c r="D154" s="398" t="s">
        <v>113</v>
      </c>
      <c r="E154" s="124" t="s">
        <v>34</v>
      </c>
      <c r="F154" s="126" t="s">
        <v>168</v>
      </c>
      <c r="G154" s="126" t="s">
        <v>168</v>
      </c>
      <c r="H154" s="126" t="s">
        <v>168</v>
      </c>
      <c r="I154" s="126" t="s">
        <v>25</v>
      </c>
      <c r="J154" s="128" t="s">
        <v>168</v>
      </c>
      <c r="K154" s="390">
        <v>870</v>
      </c>
      <c r="L154" s="154">
        <v>1000000</v>
      </c>
      <c r="M154" s="72">
        <v>0</v>
      </c>
      <c r="N154" s="73">
        <v>200000</v>
      </c>
      <c r="O154" s="72">
        <v>0</v>
      </c>
      <c r="P154" s="73">
        <v>0</v>
      </c>
    </row>
    <row r="155" spans="1:16" s="386" customFormat="1" ht="30" customHeight="1">
      <c r="A155" s="401" t="s">
        <v>229</v>
      </c>
      <c r="B155" s="424" t="s">
        <v>133</v>
      </c>
      <c r="C155" s="396" t="s">
        <v>128</v>
      </c>
      <c r="D155" s="398"/>
      <c r="E155" s="158"/>
      <c r="F155" s="159"/>
      <c r="G155" s="126"/>
      <c r="H155" s="126"/>
      <c r="I155" s="159"/>
      <c r="J155" s="398"/>
      <c r="K155" s="399"/>
      <c r="L155" s="279">
        <f>L156+L165</f>
        <v>103488713.4</v>
      </c>
      <c r="M155" s="387">
        <f>M156+M165</f>
        <v>0</v>
      </c>
      <c r="N155" s="388">
        <f>N156+N165</f>
        <v>37898660.4</v>
      </c>
      <c r="O155" s="387">
        <f>O156+O165</f>
        <v>12940544.4</v>
      </c>
      <c r="P155" s="388">
        <f>P156+P165</f>
        <v>13447517.28</v>
      </c>
    </row>
    <row r="156" spans="1:16" s="386" customFormat="1" ht="31.5" customHeight="1">
      <c r="A156" s="380" t="s">
        <v>53</v>
      </c>
      <c r="B156" s="424" t="s">
        <v>133</v>
      </c>
      <c r="C156" s="396" t="s">
        <v>128</v>
      </c>
      <c r="D156" s="398" t="s">
        <v>94</v>
      </c>
      <c r="E156" s="158"/>
      <c r="F156" s="159"/>
      <c r="G156" s="126"/>
      <c r="H156" s="126"/>
      <c r="I156" s="159"/>
      <c r="J156" s="398"/>
      <c r="K156" s="399"/>
      <c r="L156" s="279">
        <f aca="true" t="shared" si="37" ref="L156:P157">L157</f>
        <v>11459113.399999999</v>
      </c>
      <c r="M156" s="387">
        <f t="shared" si="37"/>
        <v>0</v>
      </c>
      <c r="N156" s="388">
        <f t="shared" si="37"/>
        <v>13202660.4</v>
      </c>
      <c r="O156" s="387">
        <f t="shared" si="37"/>
        <v>12940544.4</v>
      </c>
      <c r="P156" s="388">
        <f t="shared" si="37"/>
        <v>13447517.28</v>
      </c>
    </row>
    <row r="157" spans="1:16" s="386" customFormat="1" ht="36.75" customHeight="1">
      <c r="A157" s="389" t="s">
        <v>379</v>
      </c>
      <c r="B157" s="424" t="s">
        <v>133</v>
      </c>
      <c r="C157" s="396" t="s">
        <v>128</v>
      </c>
      <c r="D157" s="398" t="s">
        <v>94</v>
      </c>
      <c r="E157" s="124" t="s">
        <v>128</v>
      </c>
      <c r="F157" s="126" t="s">
        <v>168</v>
      </c>
      <c r="G157" s="126" t="s">
        <v>168</v>
      </c>
      <c r="H157" s="126" t="s">
        <v>168</v>
      </c>
      <c r="I157" s="126" t="s">
        <v>169</v>
      </c>
      <c r="J157" s="128" t="s">
        <v>168</v>
      </c>
      <c r="K157" s="390"/>
      <c r="L157" s="154">
        <f t="shared" si="37"/>
        <v>11459113.399999999</v>
      </c>
      <c r="M157" s="72">
        <f t="shared" si="37"/>
        <v>0</v>
      </c>
      <c r="N157" s="73">
        <f t="shared" si="37"/>
        <v>13202660.4</v>
      </c>
      <c r="O157" s="72">
        <f t="shared" si="37"/>
        <v>12940544.4</v>
      </c>
      <c r="P157" s="73">
        <f t="shared" si="37"/>
        <v>13447517.28</v>
      </c>
    </row>
    <row r="158" spans="1:16" s="386" customFormat="1" ht="49.5" customHeight="1">
      <c r="A158" s="389" t="s">
        <v>190</v>
      </c>
      <c r="B158" s="424" t="s">
        <v>133</v>
      </c>
      <c r="C158" s="396" t="s">
        <v>128</v>
      </c>
      <c r="D158" s="398" t="s">
        <v>94</v>
      </c>
      <c r="E158" s="124" t="s">
        <v>128</v>
      </c>
      <c r="F158" s="126" t="s">
        <v>166</v>
      </c>
      <c r="G158" s="126" t="s">
        <v>168</v>
      </c>
      <c r="H158" s="126" t="s">
        <v>168</v>
      </c>
      <c r="I158" s="126" t="s">
        <v>169</v>
      </c>
      <c r="J158" s="128" t="s">
        <v>168</v>
      </c>
      <c r="K158" s="390"/>
      <c r="L158" s="154">
        <f>L159+L162</f>
        <v>11459113.399999999</v>
      </c>
      <c r="M158" s="72">
        <f>M159+M162</f>
        <v>0</v>
      </c>
      <c r="N158" s="73">
        <f>N159+N162</f>
        <v>13202660.4</v>
      </c>
      <c r="O158" s="72">
        <f>O159+O162</f>
        <v>12940544.4</v>
      </c>
      <c r="P158" s="73">
        <f>P159+P162</f>
        <v>13447517.28</v>
      </c>
    </row>
    <row r="159" spans="1:16" s="386" customFormat="1" ht="12.75">
      <c r="A159" s="389" t="s">
        <v>0</v>
      </c>
      <c r="B159" s="424" t="s">
        <v>133</v>
      </c>
      <c r="C159" s="396" t="s">
        <v>128</v>
      </c>
      <c r="D159" s="398" t="s">
        <v>94</v>
      </c>
      <c r="E159" s="182" t="s">
        <v>128</v>
      </c>
      <c r="F159" s="125" t="s">
        <v>166</v>
      </c>
      <c r="G159" s="126" t="s">
        <v>168</v>
      </c>
      <c r="H159" s="126" t="s">
        <v>168</v>
      </c>
      <c r="I159" s="127" t="s">
        <v>1</v>
      </c>
      <c r="J159" s="128" t="s">
        <v>168</v>
      </c>
      <c r="K159" s="391"/>
      <c r="L159" s="154">
        <f aca="true" t="shared" si="38" ref="L159:P160">L160</f>
        <v>4275465.6</v>
      </c>
      <c r="M159" s="72">
        <f t="shared" si="38"/>
        <v>0</v>
      </c>
      <c r="N159" s="73">
        <f t="shared" si="38"/>
        <v>4390114.6</v>
      </c>
      <c r="O159" s="72">
        <f t="shared" si="38"/>
        <v>3514709.6</v>
      </c>
      <c r="P159" s="73">
        <f t="shared" si="38"/>
        <v>3512091.68</v>
      </c>
    </row>
    <row r="160" spans="1:16" s="386" customFormat="1" ht="12.75">
      <c r="A160" s="389" t="s">
        <v>127</v>
      </c>
      <c r="B160" s="424" t="s">
        <v>133</v>
      </c>
      <c r="C160" s="396" t="s">
        <v>128</v>
      </c>
      <c r="D160" s="398" t="s">
        <v>94</v>
      </c>
      <c r="E160" s="182" t="s">
        <v>128</v>
      </c>
      <c r="F160" s="125" t="s">
        <v>166</v>
      </c>
      <c r="G160" s="126" t="s">
        <v>168</v>
      </c>
      <c r="H160" s="126" t="s">
        <v>168</v>
      </c>
      <c r="I160" s="127" t="s">
        <v>1</v>
      </c>
      <c r="J160" s="128" t="s">
        <v>168</v>
      </c>
      <c r="K160" s="391" t="s">
        <v>140</v>
      </c>
      <c r="L160" s="154">
        <f t="shared" si="38"/>
        <v>4275465.6</v>
      </c>
      <c r="M160" s="72">
        <f t="shared" si="38"/>
        <v>0</v>
      </c>
      <c r="N160" s="73">
        <f t="shared" si="38"/>
        <v>4390114.6</v>
      </c>
      <c r="O160" s="72">
        <f t="shared" si="38"/>
        <v>3514709.6</v>
      </c>
      <c r="P160" s="73">
        <f t="shared" si="38"/>
        <v>3512091.68</v>
      </c>
    </row>
    <row r="161" spans="1:16" s="386" customFormat="1" ht="12.75">
      <c r="A161" s="389" t="s">
        <v>2</v>
      </c>
      <c r="B161" s="424" t="s">
        <v>133</v>
      </c>
      <c r="C161" s="396" t="s">
        <v>128</v>
      </c>
      <c r="D161" s="398" t="s">
        <v>94</v>
      </c>
      <c r="E161" s="182" t="s">
        <v>128</v>
      </c>
      <c r="F161" s="125" t="s">
        <v>166</v>
      </c>
      <c r="G161" s="126" t="s">
        <v>168</v>
      </c>
      <c r="H161" s="126" t="s">
        <v>168</v>
      </c>
      <c r="I161" s="127" t="s">
        <v>1</v>
      </c>
      <c r="J161" s="128" t="s">
        <v>168</v>
      </c>
      <c r="K161" s="391" t="s">
        <v>3</v>
      </c>
      <c r="L161" s="154">
        <v>4275465.6</v>
      </c>
      <c r="M161" s="72">
        <v>0</v>
      </c>
      <c r="N161" s="73">
        <v>4390114.6</v>
      </c>
      <c r="O161" s="72">
        <v>3514709.6</v>
      </c>
      <c r="P161" s="73">
        <v>3512091.68</v>
      </c>
    </row>
    <row r="162" spans="1:16" s="386" customFormat="1" ht="27.75" customHeight="1">
      <c r="A162" s="389" t="s">
        <v>202</v>
      </c>
      <c r="B162" s="424" t="s">
        <v>133</v>
      </c>
      <c r="C162" s="396" t="s">
        <v>128</v>
      </c>
      <c r="D162" s="398" t="s">
        <v>94</v>
      </c>
      <c r="E162" s="182" t="s">
        <v>128</v>
      </c>
      <c r="F162" s="125" t="s">
        <v>166</v>
      </c>
      <c r="G162" s="126" t="s">
        <v>168</v>
      </c>
      <c r="H162" s="126" t="s">
        <v>168</v>
      </c>
      <c r="I162" s="127" t="s">
        <v>204</v>
      </c>
      <c r="J162" s="128" t="s">
        <v>168</v>
      </c>
      <c r="K162" s="391"/>
      <c r="L162" s="154">
        <f aca="true" t="shared" si="39" ref="L162:P163">L163</f>
        <v>7183647.8</v>
      </c>
      <c r="M162" s="72">
        <f t="shared" si="39"/>
        <v>0</v>
      </c>
      <c r="N162" s="73">
        <f t="shared" si="39"/>
        <v>8812545.8</v>
      </c>
      <c r="O162" s="72">
        <f t="shared" si="39"/>
        <v>9425834.8</v>
      </c>
      <c r="P162" s="73">
        <f t="shared" si="39"/>
        <v>9935425.6</v>
      </c>
    </row>
    <row r="163" spans="1:16" s="386" customFormat="1" ht="19.5" customHeight="1">
      <c r="A163" s="389" t="s">
        <v>127</v>
      </c>
      <c r="B163" s="424" t="s">
        <v>133</v>
      </c>
      <c r="C163" s="396" t="s">
        <v>128</v>
      </c>
      <c r="D163" s="398" t="s">
        <v>94</v>
      </c>
      <c r="E163" s="182" t="s">
        <v>128</v>
      </c>
      <c r="F163" s="125" t="s">
        <v>166</v>
      </c>
      <c r="G163" s="126" t="s">
        <v>168</v>
      </c>
      <c r="H163" s="126" t="s">
        <v>168</v>
      </c>
      <c r="I163" s="127" t="s">
        <v>204</v>
      </c>
      <c r="J163" s="128" t="s">
        <v>168</v>
      </c>
      <c r="K163" s="391" t="s">
        <v>140</v>
      </c>
      <c r="L163" s="154">
        <f t="shared" si="39"/>
        <v>7183647.8</v>
      </c>
      <c r="M163" s="72">
        <f t="shared" si="39"/>
        <v>0</v>
      </c>
      <c r="N163" s="73">
        <f t="shared" si="39"/>
        <v>8812545.8</v>
      </c>
      <c r="O163" s="72">
        <f t="shared" si="39"/>
        <v>9425834.8</v>
      </c>
      <c r="P163" s="73">
        <f t="shared" si="39"/>
        <v>9935425.6</v>
      </c>
    </row>
    <row r="164" spans="1:16" s="386" customFormat="1" ht="12.75">
      <c r="A164" s="389" t="s">
        <v>2</v>
      </c>
      <c r="B164" s="424" t="s">
        <v>133</v>
      </c>
      <c r="C164" s="396" t="s">
        <v>128</v>
      </c>
      <c r="D164" s="398" t="s">
        <v>94</v>
      </c>
      <c r="E164" s="182" t="s">
        <v>128</v>
      </c>
      <c r="F164" s="125" t="s">
        <v>166</v>
      </c>
      <c r="G164" s="126" t="s">
        <v>168</v>
      </c>
      <c r="H164" s="126" t="s">
        <v>168</v>
      </c>
      <c r="I164" s="127" t="s">
        <v>204</v>
      </c>
      <c r="J164" s="128" t="s">
        <v>168</v>
      </c>
      <c r="K164" s="391" t="s">
        <v>3</v>
      </c>
      <c r="L164" s="154">
        <v>7183647.8</v>
      </c>
      <c r="M164" s="72">
        <v>0</v>
      </c>
      <c r="N164" s="73">
        <v>8812545.8</v>
      </c>
      <c r="O164" s="72">
        <v>9425834.8</v>
      </c>
      <c r="P164" s="73">
        <v>9935425.6</v>
      </c>
    </row>
    <row r="165" spans="1:16" s="386" customFormat="1" ht="18.75" customHeight="1">
      <c r="A165" s="401" t="s">
        <v>51</v>
      </c>
      <c r="B165" s="381" t="s">
        <v>133</v>
      </c>
      <c r="C165" s="396" t="s">
        <v>128</v>
      </c>
      <c r="D165" s="398" t="s">
        <v>97</v>
      </c>
      <c r="E165" s="158"/>
      <c r="F165" s="159"/>
      <c r="G165" s="126"/>
      <c r="H165" s="126"/>
      <c r="I165" s="159"/>
      <c r="J165" s="398"/>
      <c r="K165" s="399"/>
      <c r="L165" s="279">
        <f aca="true" t="shared" si="40" ref="L165:N169">L166</f>
        <v>92029600</v>
      </c>
      <c r="M165" s="387">
        <f t="shared" si="40"/>
        <v>0</v>
      </c>
      <c r="N165" s="388">
        <f t="shared" si="40"/>
        <v>24696000</v>
      </c>
      <c r="O165" s="387">
        <f aca="true" t="shared" si="41" ref="O165:P169">O166</f>
        <v>0</v>
      </c>
      <c r="P165" s="388">
        <f t="shared" si="41"/>
        <v>0</v>
      </c>
    </row>
    <row r="166" spans="1:16" s="386" customFormat="1" ht="27.75" customHeight="1">
      <c r="A166" s="389" t="s">
        <v>379</v>
      </c>
      <c r="B166" s="424" t="s">
        <v>133</v>
      </c>
      <c r="C166" s="396" t="s">
        <v>128</v>
      </c>
      <c r="D166" s="398" t="s">
        <v>97</v>
      </c>
      <c r="E166" s="124" t="s">
        <v>128</v>
      </c>
      <c r="F166" s="126" t="s">
        <v>168</v>
      </c>
      <c r="G166" s="126" t="s">
        <v>168</v>
      </c>
      <c r="H166" s="126" t="s">
        <v>168</v>
      </c>
      <c r="I166" s="126" t="s">
        <v>169</v>
      </c>
      <c r="J166" s="128" t="s">
        <v>168</v>
      </c>
      <c r="K166" s="390"/>
      <c r="L166" s="154">
        <f t="shared" si="40"/>
        <v>92029600</v>
      </c>
      <c r="M166" s="72">
        <f t="shared" si="40"/>
        <v>0</v>
      </c>
      <c r="N166" s="73">
        <f t="shared" si="40"/>
        <v>24696000</v>
      </c>
      <c r="O166" s="72">
        <f t="shared" si="41"/>
        <v>0</v>
      </c>
      <c r="P166" s="73">
        <f t="shared" si="41"/>
        <v>0</v>
      </c>
    </row>
    <row r="167" spans="1:16" s="386" customFormat="1" ht="38.25">
      <c r="A167" s="389" t="s">
        <v>190</v>
      </c>
      <c r="B167" s="424" t="s">
        <v>133</v>
      </c>
      <c r="C167" s="396" t="s">
        <v>128</v>
      </c>
      <c r="D167" s="398" t="s">
        <v>97</v>
      </c>
      <c r="E167" s="124" t="s">
        <v>128</v>
      </c>
      <c r="F167" s="126" t="s">
        <v>166</v>
      </c>
      <c r="G167" s="126" t="s">
        <v>168</v>
      </c>
      <c r="H167" s="126" t="s">
        <v>168</v>
      </c>
      <c r="I167" s="126" t="s">
        <v>169</v>
      </c>
      <c r="J167" s="128" t="s">
        <v>168</v>
      </c>
      <c r="K167" s="390"/>
      <c r="L167" s="154">
        <f t="shared" si="40"/>
        <v>92029600</v>
      </c>
      <c r="M167" s="72">
        <f t="shared" si="40"/>
        <v>0</v>
      </c>
      <c r="N167" s="73">
        <f t="shared" si="40"/>
        <v>24696000</v>
      </c>
      <c r="O167" s="72">
        <f t="shared" si="41"/>
        <v>0</v>
      </c>
      <c r="P167" s="73">
        <f t="shared" si="41"/>
        <v>0</v>
      </c>
    </row>
    <row r="168" spans="1:16" s="386" customFormat="1" ht="20.25" customHeight="1">
      <c r="A168" s="389" t="s">
        <v>52</v>
      </c>
      <c r="B168" s="424" t="s">
        <v>133</v>
      </c>
      <c r="C168" s="396" t="s">
        <v>128</v>
      </c>
      <c r="D168" s="398" t="s">
        <v>97</v>
      </c>
      <c r="E168" s="182" t="s">
        <v>128</v>
      </c>
      <c r="F168" s="125" t="s">
        <v>166</v>
      </c>
      <c r="G168" s="126" t="s">
        <v>168</v>
      </c>
      <c r="H168" s="126" t="s">
        <v>168</v>
      </c>
      <c r="I168" s="127" t="s">
        <v>4</v>
      </c>
      <c r="J168" s="128" t="s">
        <v>168</v>
      </c>
      <c r="K168" s="391"/>
      <c r="L168" s="154">
        <f t="shared" si="40"/>
        <v>92029600</v>
      </c>
      <c r="M168" s="72">
        <f t="shared" si="40"/>
        <v>0</v>
      </c>
      <c r="N168" s="73">
        <f t="shared" si="40"/>
        <v>24696000</v>
      </c>
      <c r="O168" s="72">
        <f t="shared" si="41"/>
        <v>0</v>
      </c>
      <c r="P168" s="73">
        <f t="shared" si="41"/>
        <v>0</v>
      </c>
    </row>
    <row r="169" spans="1:16" s="386" customFormat="1" ht="12.75">
      <c r="A169" s="389" t="s">
        <v>127</v>
      </c>
      <c r="B169" s="424" t="s">
        <v>133</v>
      </c>
      <c r="C169" s="396" t="s">
        <v>128</v>
      </c>
      <c r="D169" s="398" t="s">
        <v>97</v>
      </c>
      <c r="E169" s="182" t="s">
        <v>128</v>
      </c>
      <c r="F169" s="125" t="s">
        <v>166</v>
      </c>
      <c r="G169" s="126" t="s">
        <v>168</v>
      </c>
      <c r="H169" s="126" t="s">
        <v>168</v>
      </c>
      <c r="I169" s="127" t="s">
        <v>4</v>
      </c>
      <c r="J169" s="128" t="s">
        <v>168</v>
      </c>
      <c r="K169" s="391" t="s">
        <v>140</v>
      </c>
      <c r="L169" s="154">
        <f t="shared" si="40"/>
        <v>92029600</v>
      </c>
      <c r="M169" s="72">
        <f t="shared" si="40"/>
        <v>0</v>
      </c>
      <c r="N169" s="73">
        <f t="shared" si="40"/>
        <v>24696000</v>
      </c>
      <c r="O169" s="72">
        <f t="shared" si="41"/>
        <v>0</v>
      </c>
      <c r="P169" s="73">
        <f t="shared" si="41"/>
        <v>0</v>
      </c>
    </row>
    <row r="170" spans="1:16" s="386" customFormat="1" ht="18" customHeight="1">
      <c r="A170" s="401" t="s">
        <v>141</v>
      </c>
      <c r="B170" s="424" t="s">
        <v>133</v>
      </c>
      <c r="C170" s="396" t="s">
        <v>128</v>
      </c>
      <c r="D170" s="398" t="s">
        <v>97</v>
      </c>
      <c r="E170" s="182" t="s">
        <v>128</v>
      </c>
      <c r="F170" s="125" t="s">
        <v>166</v>
      </c>
      <c r="G170" s="126" t="s">
        <v>168</v>
      </c>
      <c r="H170" s="126" t="s">
        <v>168</v>
      </c>
      <c r="I170" s="127" t="s">
        <v>4</v>
      </c>
      <c r="J170" s="128" t="s">
        <v>168</v>
      </c>
      <c r="K170" s="391" t="s">
        <v>175</v>
      </c>
      <c r="L170" s="154">
        <v>92029600</v>
      </c>
      <c r="M170" s="72">
        <v>0</v>
      </c>
      <c r="N170" s="73">
        <v>24696000</v>
      </c>
      <c r="O170" s="72">
        <v>0</v>
      </c>
      <c r="P170" s="73">
        <v>0</v>
      </c>
    </row>
    <row r="171" spans="1:16" s="386" customFormat="1" ht="6.75" customHeight="1">
      <c r="A171" s="426"/>
      <c r="B171" s="427"/>
      <c r="C171" s="404"/>
      <c r="D171" s="404"/>
      <c r="E171" s="226"/>
      <c r="F171" s="227"/>
      <c r="G171" s="204"/>
      <c r="H171" s="204"/>
      <c r="I171" s="294"/>
      <c r="J171" s="229"/>
      <c r="K171" s="406"/>
      <c r="L171" s="295"/>
      <c r="M171" s="407"/>
      <c r="N171" s="408"/>
      <c r="O171" s="407"/>
      <c r="P171" s="408"/>
    </row>
    <row r="172" spans="1:16" s="419" customFormat="1" ht="15.75" customHeight="1">
      <c r="A172" s="428" t="s">
        <v>279</v>
      </c>
      <c r="B172" s="429">
        <v>331</v>
      </c>
      <c r="C172" s="430"/>
      <c r="D172" s="431"/>
      <c r="E172" s="413"/>
      <c r="F172" s="414"/>
      <c r="G172" s="314"/>
      <c r="H172" s="314"/>
      <c r="I172" s="414"/>
      <c r="J172" s="412"/>
      <c r="K172" s="415"/>
      <c r="L172" s="416" t="e">
        <f>L173+L259+L302++L313+L334+L343+L369+L251</f>
        <v>#REF!</v>
      </c>
      <c r="M172" s="417" t="e">
        <f>M173+M259+M302++M313+M334+M343+M369+M251</f>
        <v>#REF!</v>
      </c>
      <c r="N172" s="418">
        <f>N173+N259+N302++N313+N334+N343+N369+N251</f>
        <v>194052461.36999997</v>
      </c>
      <c r="O172" s="417">
        <f>O173+O259+O302++O313+O334+O343+O369+O251</f>
        <v>156116394.92</v>
      </c>
      <c r="P172" s="418">
        <f>P173+P259+P302++P313+P334+P343+P369+P251</f>
        <v>150694035.94000003</v>
      </c>
    </row>
    <row r="173" spans="1:16" ht="12.75">
      <c r="A173" s="420" t="s">
        <v>109</v>
      </c>
      <c r="B173" s="381" t="s">
        <v>135</v>
      </c>
      <c r="C173" s="396" t="s">
        <v>94</v>
      </c>
      <c r="D173" s="158"/>
      <c r="E173" s="158"/>
      <c r="F173" s="159"/>
      <c r="G173" s="126"/>
      <c r="H173" s="126"/>
      <c r="I173" s="159"/>
      <c r="J173" s="398"/>
      <c r="K173" s="399"/>
      <c r="L173" s="421" t="e">
        <f>L174+L179+L213+L208</f>
        <v>#REF!</v>
      </c>
      <c r="M173" s="422" t="e">
        <f>M174+M179+M213+M208</f>
        <v>#REF!</v>
      </c>
      <c r="N173" s="423">
        <f>N174+N179+N213+N208</f>
        <v>94816928.35</v>
      </c>
      <c r="O173" s="422">
        <f>O174+O179+O213+O208</f>
        <v>92662069.79</v>
      </c>
      <c r="P173" s="423">
        <f>P174+P179+P213+P208</f>
        <v>88824439.26</v>
      </c>
    </row>
    <row r="174" spans="1:16" ht="25.5">
      <c r="A174" s="380" t="s">
        <v>129</v>
      </c>
      <c r="B174" s="432">
        <v>331</v>
      </c>
      <c r="C174" s="396" t="s">
        <v>94</v>
      </c>
      <c r="D174" s="158" t="s">
        <v>101</v>
      </c>
      <c r="E174" s="158"/>
      <c r="F174" s="159"/>
      <c r="G174" s="126"/>
      <c r="H174" s="126"/>
      <c r="I174" s="159"/>
      <c r="J174" s="398"/>
      <c r="K174" s="399"/>
      <c r="L174" s="279">
        <f>L175</f>
        <v>4160910</v>
      </c>
      <c r="M174" s="387">
        <f>M175</f>
        <v>0</v>
      </c>
      <c r="N174" s="388">
        <f>N175</f>
        <v>4391780.96</v>
      </c>
      <c r="O174" s="387">
        <f aca="true" t="shared" si="42" ref="O174:P177">O175</f>
        <v>4391780.96</v>
      </c>
      <c r="P174" s="388">
        <f t="shared" si="42"/>
        <v>4391780.96</v>
      </c>
    </row>
    <row r="175" spans="1:16" ht="25.5">
      <c r="A175" s="389" t="s">
        <v>37</v>
      </c>
      <c r="B175" s="433">
        <v>331</v>
      </c>
      <c r="C175" s="434" t="s">
        <v>94</v>
      </c>
      <c r="D175" s="435" t="s">
        <v>101</v>
      </c>
      <c r="E175" s="436" t="s">
        <v>7</v>
      </c>
      <c r="F175" s="437" t="s">
        <v>168</v>
      </c>
      <c r="G175" s="438" t="s">
        <v>168</v>
      </c>
      <c r="H175" s="438" t="s">
        <v>168</v>
      </c>
      <c r="I175" s="437" t="s">
        <v>169</v>
      </c>
      <c r="J175" s="439" t="s">
        <v>168</v>
      </c>
      <c r="K175" s="440"/>
      <c r="L175" s="441">
        <f aca="true" t="shared" si="43" ref="L175:M177">L176</f>
        <v>4160910</v>
      </c>
      <c r="M175" s="442">
        <f t="shared" si="43"/>
        <v>0</v>
      </c>
      <c r="N175" s="443">
        <f>N176</f>
        <v>4391780.96</v>
      </c>
      <c r="O175" s="442">
        <f t="shared" si="42"/>
        <v>4391780.96</v>
      </c>
      <c r="P175" s="443">
        <f t="shared" si="42"/>
        <v>4391780.96</v>
      </c>
    </row>
    <row r="176" spans="1:16" ht="25.5">
      <c r="A176" s="397" t="s">
        <v>40</v>
      </c>
      <c r="B176" s="433">
        <v>331</v>
      </c>
      <c r="C176" s="434" t="s">
        <v>94</v>
      </c>
      <c r="D176" s="435" t="s">
        <v>101</v>
      </c>
      <c r="E176" s="444" t="s">
        <v>7</v>
      </c>
      <c r="F176" s="438" t="s">
        <v>168</v>
      </c>
      <c r="G176" s="438" t="s">
        <v>168</v>
      </c>
      <c r="H176" s="438" t="s">
        <v>168</v>
      </c>
      <c r="I176" s="438" t="s">
        <v>36</v>
      </c>
      <c r="J176" s="439" t="s">
        <v>168</v>
      </c>
      <c r="K176" s="445"/>
      <c r="L176" s="441">
        <f t="shared" si="43"/>
        <v>4160910</v>
      </c>
      <c r="M176" s="442">
        <f t="shared" si="43"/>
        <v>0</v>
      </c>
      <c r="N176" s="443">
        <f>N177</f>
        <v>4391780.96</v>
      </c>
      <c r="O176" s="442">
        <f t="shared" si="42"/>
        <v>4391780.96</v>
      </c>
      <c r="P176" s="443">
        <f t="shared" si="42"/>
        <v>4391780.96</v>
      </c>
    </row>
    <row r="177" spans="1:16" ht="51">
      <c r="A177" s="389" t="s">
        <v>92</v>
      </c>
      <c r="B177" s="433">
        <v>331</v>
      </c>
      <c r="C177" s="434" t="s">
        <v>94</v>
      </c>
      <c r="D177" s="435" t="s">
        <v>101</v>
      </c>
      <c r="E177" s="444" t="s">
        <v>7</v>
      </c>
      <c r="F177" s="438" t="s">
        <v>168</v>
      </c>
      <c r="G177" s="438" t="s">
        <v>168</v>
      </c>
      <c r="H177" s="438" t="s">
        <v>168</v>
      </c>
      <c r="I177" s="438" t="s">
        <v>36</v>
      </c>
      <c r="J177" s="439" t="s">
        <v>168</v>
      </c>
      <c r="K177" s="445" t="s">
        <v>81</v>
      </c>
      <c r="L177" s="441">
        <f t="shared" si="43"/>
        <v>4160910</v>
      </c>
      <c r="M177" s="442">
        <f t="shared" si="43"/>
        <v>0</v>
      </c>
      <c r="N177" s="443">
        <f>N178</f>
        <v>4391780.96</v>
      </c>
      <c r="O177" s="442">
        <f t="shared" si="42"/>
        <v>4391780.96</v>
      </c>
      <c r="P177" s="443">
        <f t="shared" si="42"/>
        <v>4391780.96</v>
      </c>
    </row>
    <row r="178" spans="1:16" ht="25.5">
      <c r="A178" s="389" t="s">
        <v>82</v>
      </c>
      <c r="B178" s="433">
        <v>331</v>
      </c>
      <c r="C178" s="434" t="s">
        <v>94</v>
      </c>
      <c r="D178" s="435" t="s">
        <v>101</v>
      </c>
      <c r="E178" s="444" t="s">
        <v>7</v>
      </c>
      <c r="F178" s="438" t="s">
        <v>168</v>
      </c>
      <c r="G178" s="438" t="s">
        <v>168</v>
      </c>
      <c r="H178" s="438" t="s">
        <v>168</v>
      </c>
      <c r="I178" s="438" t="s">
        <v>36</v>
      </c>
      <c r="J178" s="439" t="s">
        <v>168</v>
      </c>
      <c r="K178" s="445">
        <v>120</v>
      </c>
      <c r="L178" s="441">
        <v>4160910</v>
      </c>
      <c r="M178" s="442">
        <v>0</v>
      </c>
      <c r="N178" s="443">
        <v>4391780.96</v>
      </c>
      <c r="O178" s="442">
        <v>4391780.96</v>
      </c>
      <c r="P178" s="443">
        <v>4391780.96</v>
      </c>
    </row>
    <row r="179" spans="1:16" ht="39.75" customHeight="1">
      <c r="A179" s="380" t="s">
        <v>156</v>
      </c>
      <c r="B179" s="381" t="s">
        <v>135</v>
      </c>
      <c r="C179" s="396" t="s">
        <v>94</v>
      </c>
      <c r="D179" s="158" t="s">
        <v>96</v>
      </c>
      <c r="E179" s="124"/>
      <c r="F179" s="126"/>
      <c r="G179" s="126"/>
      <c r="H179" s="126"/>
      <c r="I179" s="126"/>
      <c r="J179" s="128"/>
      <c r="K179" s="390"/>
      <c r="L179" s="154">
        <f>L184+L180</f>
        <v>44257349</v>
      </c>
      <c r="M179" s="72">
        <f>M184+M180</f>
        <v>0</v>
      </c>
      <c r="N179" s="73">
        <f>N184+N180</f>
        <v>61823269.949999996</v>
      </c>
      <c r="O179" s="72">
        <f>O184+O180</f>
        <v>62134398.75</v>
      </c>
      <c r="P179" s="73">
        <f>P184+P180</f>
        <v>62485745.59</v>
      </c>
    </row>
    <row r="180" spans="1:16" ht="36.75" customHeight="1">
      <c r="A180" s="380" t="s">
        <v>378</v>
      </c>
      <c r="B180" s="381" t="s">
        <v>135</v>
      </c>
      <c r="C180" s="396" t="s">
        <v>94</v>
      </c>
      <c r="D180" s="158" t="s">
        <v>96</v>
      </c>
      <c r="E180" s="124" t="s">
        <v>241</v>
      </c>
      <c r="F180" s="126" t="s">
        <v>168</v>
      </c>
      <c r="G180" s="126" t="s">
        <v>168</v>
      </c>
      <c r="H180" s="126" t="s">
        <v>168</v>
      </c>
      <c r="I180" s="126" t="s">
        <v>169</v>
      </c>
      <c r="J180" s="128" t="s">
        <v>168</v>
      </c>
      <c r="K180" s="390"/>
      <c r="L180" s="154">
        <f aca="true" t="shared" si="44" ref="L180:N182">L181</f>
        <v>35000</v>
      </c>
      <c r="M180" s="72">
        <f t="shared" si="44"/>
        <v>0</v>
      </c>
      <c r="N180" s="73">
        <f t="shared" si="44"/>
        <v>35000</v>
      </c>
      <c r="O180" s="72">
        <f aca="true" t="shared" si="45" ref="O180:P182">O181</f>
        <v>35000</v>
      </c>
      <c r="P180" s="73">
        <f t="shared" si="45"/>
        <v>35000</v>
      </c>
    </row>
    <row r="181" spans="1:16" ht="24.75" customHeight="1">
      <c r="A181" s="389" t="s">
        <v>16</v>
      </c>
      <c r="B181" s="381" t="s">
        <v>135</v>
      </c>
      <c r="C181" s="396" t="s">
        <v>94</v>
      </c>
      <c r="D181" s="158" t="s">
        <v>96</v>
      </c>
      <c r="E181" s="124" t="s">
        <v>241</v>
      </c>
      <c r="F181" s="126" t="s">
        <v>168</v>
      </c>
      <c r="G181" s="126" t="s">
        <v>168</v>
      </c>
      <c r="H181" s="126" t="s">
        <v>168</v>
      </c>
      <c r="I181" s="126">
        <v>7870</v>
      </c>
      <c r="J181" s="128" t="s">
        <v>168</v>
      </c>
      <c r="K181" s="390"/>
      <c r="L181" s="154">
        <f t="shared" si="44"/>
        <v>35000</v>
      </c>
      <c r="M181" s="72">
        <f t="shared" si="44"/>
        <v>0</v>
      </c>
      <c r="N181" s="73">
        <f t="shared" si="44"/>
        <v>35000</v>
      </c>
      <c r="O181" s="72">
        <f t="shared" si="45"/>
        <v>35000</v>
      </c>
      <c r="P181" s="73">
        <f t="shared" si="45"/>
        <v>35000</v>
      </c>
    </row>
    <row r="182" spans="1:16" ht="29.25" customHeight="1">
      <c r="A182" s="389" t="s">
        <v>73</v>
      </c>
      <c r="B182" s="381" t="s">
        <v>135</v>
      </c>
      <c r="C182" s="396" t="s">
        <v>94</v>
      </c>
      <c r="D182" s="158" t="s">
        <v>96</v>
      </c>
      <c r="E182" s="124" t="s">
        <v>241</v>
      </c>
      <c r="F182" s="126" t="s">
        <v>168</v>
      </c>
      <c r="G182" s="126" t="s">
        <v>168</v>
      </c>
      <c r="H182" s="126" t="s">
        <v>168</v>
      </c>
      <c r="I182" s="126" t="s">
        <v>45</v>
      </c>
      <c r="J182" s="128" t="s">
        <v>168</v>
      </c>
      <c r="K182" s="390">
        <v>200</v>
      </c>
      <c r="L182" s="154">
        <f t="shared" si="44"/>
        <v>35000</v>
      </c>
      <c r="M182" s="72">
        <f t="shared" si="44"/>
        <v>0</v>
      </c>
      <c r="N182" s="73">
        <f t="shared" si="44"/>
        <v>35000</v>
      </c>
      <c r="O182" s="72">
        <f t="shared" si="45"/>
        <v>35000</v>
      </c>
      <c r="P182" s="73">
        <f t="shared" si="45"/>
        <v>35000</v>
      </c>
    </row>
    <row r="183" spans="1:16" ht="39.75" customHeight="1">
      <c r="A183" s="389" t="s">
        <v>75</v>
      </c>
      <c r="B183" s="381" t="s">
        <v>135</v>
      </c>
      <c r="C183" s="396" t="s">
        <v>94</v>
      </c>
      <c r="D183" s="158" t="s">
        <v>96</v>
      </c>
      <c r="E183" s="124" t="s">
        <v>241</v>
      </c>
      <c r="F183" s="126" t="s">
        <v>168</v>
      </c>
      <c r="G183" s="126" t="s">
        <v>168</v>
      </c>
      <c r="H183" s="126" t="s">
        <v>168</v>
      </c>
      <c r="I183" s="126" t="s">
        <v>45</v>
      </c>
      <c r="J183" s="128" t="s">
        <v>168</v>
      </c>
      <c r="K183" s="390">
        <v>240</v>
      </c>
      <c r="L183" s="154">
        <v>35000</v>
      </c>
      <c r="M183" s="72">
        <v>0</v>
      </c>
      <c r="N183" s="73">
        <v>35000</v>
      </c>
      <c r="O183" s="72">
        <v>35000</v>
      </c>
      <c r="P183" s="73">
        <v>35000</v>
      </c>
    </row>
    <row r="184" spans="1:16" ht="25.5">
      <c r="A184" s="389" t="s">
        <v>43</v>
      </c>
      <c r="B184" s="381" t="s">
        <v>135</v>
      </c>
      <c r="C184" s="396" t="s">
        <v>94</v>
      </c>
      <c r="D184" s="158" t="s">
        <v>96</v>
      </c>
      <c r="E184" s="144" t="s">
        <v>10</v>
      </c>
      <c r="F184" s="136" t="s">
        <v>168</v>
      </c>
      <c r="G184" s="126" t="s">
        <v>168</v>
      </c>
      <c r="H184" s="126" t="s">
        <v>168</v>
      </c>
      <c r="I184" s="136" t="s">
        <v>169</v>
      </c>
      <c r="J184" s="128" t="s">
        <v>168</v>
      </c>
      <c r="K184" s="446"/>
      <c r="L184" s="154">
        <f>L185+L190+L203+L195+L200</f>
        <v>44222349</v>
      </c>
      <c r="M184" s="72">
        <f>M185+M190+M203+M195+M200</f>
        <v>0</v>
      </c>
      <c r="N184" s="73">
        <f>N185+N190+N203+N195+N200</f>
        <v>61788269.949999996</v>
      </c>
      <c r="O184" s="72">
        <f>O185+O190+O203+O195+O200</f>
        <v>62099398.75</v>
      </c>
      <c r="P184" s="73">
        <f>P185+P190+P203+P195+P200</f>
        <v>62450745.59</v>
      </c>
    </row>
    <row r="185" spans="1:16" ht="51">
      <c r="A185" s="389" t="s">
        <v>151</v>
      </c>
      <c r="B185" s="381" t="s">
        <v>135</v>
      </c>
      <c r="C185" s="396" t="s">
        <v>94</v>
      </c>
      <c r="D185" s="158" t="s">
        <v>96</v>
      </c>
      <c r="E185" s="124" t="s">
        <v>10</v>
      </c>
      <c r="F185" s="126" t="s">
        <v>168</v>
      </c>
      <c r="G185" s="126" t="s">
        <v>168</v>
      </c>
      <c r="H185" s="126" t="s">
        <v>168</v>
      </c>
      <c r="I185" s="126">
        <v>7869</v>
      </c>
      <c r="J185" s="128" t="s">
        <v>168</v>
      </c>
      <c r="K185" s="390"/>
      <c r="L185" s="154">
        <f>L188+L186</f>
        <v>28000</v>
      </c>
      <c r="M185" s="72">
        <f>M188+M186</f>
        <v>0</v>
      </c>
      <c r="N185" s="73">
        <f>N188+N186</f>
        <v>21000</v>
      </c>
      <c r="O185" s="72">
        <f>O188+O186</f>
        <v>21000</v>
      </c>
      <c r="P185" s="73">
        <f>P188+P186</f>
        <v>21000</v>
      </c>
    </row>
    <row r="186" spans="1:16" ht="54" customHeight="1">
      <c r="A186" s="389" t="s">
        <v>92</v>
      </c>
      <c r="B186" s="381" t="s">
        <v>135</v>
      </c>
      <c r="C186" s="396" t="s">
        <v>94</v>
      </c>
      <c r="D186" s="158" t="s">
        <v>96</v>
      </c>
      <c r="E186" s="124" t="s">
        <v>10</v>
      </c>
      <c r="F186" s="126" t="s">
        <v>168</v>
      </c>
      <c r="G186" s="126" t="s">
        <v>168</v>
      </c>
      <c r="H186" s="126" t="s">
        <v>168</v>
      </c>
      <c r="I186" s="126" t="s">
        <v>46</v>
      </c>
      <c r="J186" s="128" t="s">
        <v>168</v>
      </c>
      <c r="K186" s="390" t="s">
        <v>81</v>
      </c>
      <c r="L186" s="154">
        <f>L187</f>
        <v>4400</v>
      </c>
      <c r="M186" s="72">
        <f>M187</f>
        <v>0</v>
      </c>
      <c r="N186" s="73">
        <f>N187</f>
        <v>8000</v>
      </c>
      <c r="O186" s="72">
        <f>O187</f>
        <v>8000</v>
      </c>
      <c r="P186" s="73">
        <f>P187</f>
        <v>8000</v>
      </c>
    </row>
    <row r="187" spans="1:16" ht="36" customHeight="1">
      <c r="A187" s="389" t="s">
        <v>82</v>
      </c>
      <c r="B187" s="381" t="s">
        <v>135</v>
      </c>
      <c r="C187" s="396" t="s">
        <v>94</v>
      </c>
      <c r="D187" s="158" t="s">
        <v>96</v>
      </c>
      <c r="E187" s="124" t="s">
        <v>10</v>
      </c>
      <c r="F187" s="126" t="s">
        <v>168</v>
      </c>
      <c r="G187" s="126" t="s">
        <v>168</v>
      </c>
      <c r="H187" s="126" t="s">
        <v>168</v>
      </c>
      <c r="I187" s="126" t="s">
        <v>46</v>
      </c>
      <c r="J187" s="128" t="s">
        <v>168</v>
      </c>
      <c r="K187" s="390" t="s">
        <v>212</v>
      </c>
      <c r="L187" s="154">
        <v>4400</v>
      </c>
      <c r="M187" s="72">
        <v>0</v>
      </c>
      <c r="N187" s="73">
        <v>8000</v>
      </c>
      <c r="O187" s="72">
        <v>8000</v>
      </c>
      <c r="P187" s="73">
        <v>8000</v>
      </c>
    </row>
    <row r="188" spans="1:16" ht="25.5">
      <c r="A188" s="389" t="s">
        <v>73</v>
      </c>
      <c r="B188" s="381" t="s">
        <v>135</v>
      </c>
      <c r="C188" s="396" t="s">
        <v>94</v>
      </c>
      <c r="D188" s="158" t="s">
        <v>96</v>
      </c>
      <c r="E188" s="124" t="s">
        <v>10</v>
      </c>
      <c r="F188" s="126" t="s">
        <v>168</v>
      </c>
      <c r="G188" s="126" t="s">
        <v>168</v>
      </c>
      <c r="H188" s="126" t="s">
        <v>168</v>
      </c>
      <c r="I188" s="126" t="s">
        <v>46</v>
      </c>
      <c r="J188" s="128" t="s">
        <v>168</v>
      </c>
      <c r="K188" s="390">
        <v>200</v>
      </c>
      <c r="L188" s="154">
        <f>L189</f>
        <v>23600</v>
      </c>
      <c r="M188" s="72">
        <f>M189</f>
        <v>0</v>
      </c>
      <c r="N188" s="73">
        <f>N189</f>
        <v>13000</v>
      </c>
      <c r="O188" s="72">
        <f>O189</f>
        <v>13000</v>
      </c>
      <c r="P188" s="73">
        <f>P189</f>
        <v>13000</v>
      </c>
    </row>
    <row r="189" spans="1:16" ht="25.5">
      <c r="A189" s="389" t="s">
        <v>75</v>
      </c>
      <c r="B189" s="381" t="s">
        <v>135</v>
      </c>
      <c r="C189" s="396" t="s">
        <v>94</v>
      </c>
      <c r="D189" s="158" t="s">
        <v>96</v>
      </c>
      <c r="E189" s="124" t="s">
        <v>10</v>
      </c>
      <c r="F189" s="126" t="s">
        <v>168</v>
      </c>
      <c r="G189" s="126" t="s">
        <v>168</v>
      </c>
      <c r="H189" s="126" t="s">
        <v>168</v>
      </c>
      <c r="I189" s="126" t="s">
        <v>46</v>
      </c>
      <c r="J189" s="128" t="s">
        <v>168</v>
      </c>
      <c r="K189" s="390">
        <v>240</v>
      </c>
      <c r="L189" s="154">
        <v>23600</v>
      </c>
      <c r="M189" s="72">
        <v>0</v>
      </c>
      <c r="N189" s="73">
        <v>13000</v>
      </c>
      <c r="O189" s="72">
        <v>13000</v>
      </c>
      <c r="P189" s="73">
        <v>13000</v>
      </c>
    </row>
    <row r="190" spans="1:16" ht="25.5">
      <c r="A190" s="389" t="s">
        <v>158</v>
      </c>
      <c r="B190" s="381" t="s">
        <v>135</v>
      </c>
      <c r="C190" s="396" t="s">
        <v>94</v>
      </c>
      <c r="D190" s="158" t="s">
        <v>96</v>
      </c>
      <c r="E190" s="124" t="s">
        <v>10</v>
      </c>
      <c r="F190" s="126" t="s">
        <v>168</v>
      </c>
      <c r="G190" s="126" t="s">
        <v>168</v>
      </c>
      <c r="H190" s="126" t="s">
        <v>168</v>
      </c>
      <c r="I190" s="126" t="s">
        <v>159</v>
      </c>
      <c r="J190" s="128" t="s">
        <v>168</v>
      </c>
      <c r="K190" s="390"/>
      <c r="L190" s="154">
        <f>L191+L193</f>
        <v>464749</v>
      </c>
      <c r="M190" s="72">
        <f>M191+M193</f>
        <v>0</v>
      </c>
      <c r="N190" s="73">
        <f>N191+N193</f>
        <v>545094.91</v>
      </c>
      <c r="O190" s="72">
        <f>O191+O193</f>
        <v>593704.14</v>
      </c>
      <c r="P190" s="73">
        <f>P191+P193</f>
        <v>671120.81</v>
      </c>
    </row>
    <row r="191" spans="1:16" ht="51">
      <c r="A191" s="389" t="s">
        <v>92</v>
      </c>
      <c r="B191" s="381" t="s">
        <v>135</v>
      </c>
      <c r="C191" s="396" t="s">
        <v>94</v>
      </c>
      <c r="D191" s="158" t="s">
        <v>96</v>
      </c>
      <c r="E191" s="124" t="s">
        <v>10</v>
      </c>
      <c r="F191" s="126" t="s">
        <v>168</v>
      </c>
      <c r="G191" s="126" t="s">
        <v>168</v>
      </c>
      <c r="H191" s="126" t="s">
        <v>168</v>
      </c>
      <c r="I191" s="126" t="s">
        <v>159</v>
      </c>
      <c r="J191" s="128" t="s">
        <v>168</v>
      </c>
      <c r="K191" s="390">
        <v>100</v>
      </c>
      <c r="L191" s="154">
        <f>L192</f>
        <v>402400</v>
      </c>
      <c r="M191" s="72">
        <f>M192</f>
        <v>0</v>
      </c>
      <c r="N191" s="73">
        <f>N192</f>
        <v>475813.61000000004</v>
      </c>
      <c r="O191" s="72">
        <f>O192</f>
        <v>524082.84</v>
      </c>
      <c r="P191" s="73">
        <f>P192</f>
        <v>601499.51</v>
      </c>
    </row>
    <row r="192" spans="1:16" ht="25.5">
      <c r="A192" s="389" t="s">
        <v>82</v>
      </c>
      <c r="B192" s="381" t="s">
        <v>135</v>
      </c>
      <c r="C192" s="396" t="s">
        <v>94</v>
      </c>
      <c r="D192" s="158" t="s">
        <v>96</v>
      </c>
      <c r="E192" s="124" t="s">
        <v>10</v>
      </c>
      <c r="F192" s="126" t="s">
        <v>168</v>
      </c>
      <c r="G192" s="126" t="s">
        <v>168</v>
      </c>
      <c r="H192" s="126" t="s">
        <v>168</v>
      </c>
      <c r="I192" s="126" t="s">
        <v>159</v>
      </c>
      <c r="J192" s="128" t="s">
        <v>168</v>
      </c>
      <c r="K192" s="390">
        <v>120</v>
      </c>
      <c r="L192" s="154">
        <f>303300+7500+91600</f>
        <v>402400</v>
      </c>
      <c r="M192" s="72">
        <v>0</v>
      </c>
      <c r="N192" s="73">
        <f>338646.4+35500+101667.21</f>
        <v>475813.61000000004</v>
      </c>
      <c r="O192" s="72">
        <f>385320.15+23000+115762.69</f>
        <v>524082.84</v>
      </c>
      <c r="P192" s="73">
        <f>435179.35+35500+130820.16</f>
        <v>601499.51</v>
      </c>
    </row>
    <row r="193" spans="1:16" ht="25.5">
      <c r="A193" s="389" t="s">
        <v>73</v>
      </c>
      <c r="B193" s="381" t="s">
        <v>135</v>
      </c>
      <c r="C193" s="396" t="s">
        <v>94</v>
      </c>
      <c r="D193" s="158" t="s">
        <v>96</v>
      </c>
      <c r="E193" s="124" t="s">
        <v>10</v>
      </c>
      <c r="F193" s="126" t="s">
        <v>168</v>
      </c>
      <c r="G193" s="126" t="s">
        <v>168</v>
      </c>
      <c r="H193" s="126" t="s">
        <v>168</v>
      </c>
      <c r="I193" s="126" t="s">
        <v>159</v>
      </c>
      <c r="J193" s="128" t="s">
        <v>168</v>
      </c>
      <c r="K193" s="390">
        <v>200</v>
      </c>
      <c r="L193" s="154">
        <f>L194</f>
        <v>62349</v>
      </c>
      <c r="M193" s="72">
        <f>M194</f>
        <v>0</v>
      </c>
      <c r="N193" s="73">
        <f>N194</f>
        <v>69281.3</v>
      </c>
      <c r="O193" s="72">
        <f>O194</f>
        <v>69621.3</v>
      </c>
      <c r="P193" s="73">
        <f>P194</f>
        <v>69621.3</v>
      </c>
    </row>
    <row r="194" spans="1:16" ht="25.5">
      <c r="A194" s="389" t="s">
        <v>75</v>
      </c>
      <c r="B194" s="381" t="s">
        <v>135</v>
      </c>
      <c r="C194" s="396" t="s">
        <v>94</v>
      </c>
      <c r="D194" s="158" t="s">
        <v>96</v>
      </c>
      <c r="E194" s="124" t="s">
        <v>10</v>
      </c>
      <c r="F194" s="126" t="s">
        <v>168</v>
      </c>
      <c r="G194" s="126" t="s">
        <v>168</v>
      </c>
      <c r="H194" s="126" t="s">
        <v>168</v>
      </c>
      <c r="I194" s="126" t="s">
        <v>159</v>
      </c>
      <c r="J194" s="128" t="s">
        <v>168</v>
      </c>
      <c r="K194" s="390">
        <v>240</v>
      </c>
      <c r="L194" s="154">
        <v>62349</v>
      </c>
      <c r="M194" s="72">
        <v>0</v>
      </c>
      <c r="N194" s="73">
        <v>69281.3</v>
      </c>
      <c r="O194" s="72">
        <v>69621.3</v>
      </c>
      <c r="P194" s="73">
        <v>69621.3</v>
      </c>
    </row>
    <row r="195" spans="1:16" ht="25.5">
      <c r="A195" s="389" t="s">
        <v>33</v>
      </c>
      <c r="B195" s="381" t="s">
        <v>135</v>
      </c>
      <c r="C195" s="396" t="s">
        <v>94</v>
      </c>
      <c r="D195" s="158" t="s">
        <v>96</v>
      </c>
      <c r="E195" s="124" t="s">
        <v>10</v>
      </c>
      <c r="F195" s="126" t="s">
        <v>168</v>
      </c>
      <c r="G195" s="126" t="s">
        <v>168</v>
      </c>
      <c r="H195" s="126" t="s">
        <v>168</v>
      </c>
      <c r="I195" s="126" t="s">
        <v>255</v>
      </c>
      <c r="J195" s="128" t="s">
        <v>170</v>
      </c>
      <c r="K195" s="390"/>
      <c r="L195" s="154">
        <f>L196+L198</f>
        <v>1961900</v>
      </c>
      <c r="M195" s="72">
        <f>M196+M198</f>
        <v>0</v>
      </c>
      <c r="N195" s="73">
        <f>N196+N198</f>
        <v>2259010.3899999997</v>
      </c>
      <c r="O195" s="72">
        <f>O196+O198</f>
        <v>2521529.96</v>
      </c>
      <c r="P195" s="73">
        <f>P196+P198</f>
        <v>2795460.13</v>
      </c>
    </row>
    <row r="196" spans="1:16" ht="51">
      <c r="A196" s="389" t="s">
        <v>92</v>
      </c>
      <c r="B196" s="381" t="s">
        <v>135</v>
      </c>
      <c r="C196" s="396" t="s">
        <v>94</v>
      </c>
      <c r="D196" s="158" t="s">
        <v>96</v>
      </c>
      <c r="E196" s="124" t="s">
        <v>10</v>
      </c>
      <c r="F196" s="126" t="s">
        <v>168</v>
      </c>
      <c r="G196" s="126" t="s">
        <v>168</v>
      </c>
      <c r="H196" s="126" t="s">
        <v>168</v>
      </c>
      <c r="I196" s="126" t="s">
        <v>255</v>
      </c>
      <c r="J196" s="128" t="s">
        <v>170</v>
      </c>
      <c r="K196" s="390">
        <v>100</v>
      </c>
      <c r="L196" s="154">
        <f>L197</f>
        <v>1879400</v>
      </c>
      <c r="M196" s="72">
        <f>M197</f>
        <v>0</v>
      </c>
      <c r="N196" s="73">
        <f>N197</f>
        <v>2179910.13</v>
      </c>
      <c r="O196" s="72">
        <f>O197</f>
        <v>2437655.3</v>
      </c>
      <c r="P196" s="73">
        <f>P197</f>
        <v>2714865.4699999997</v>
      </c>
    </row>
    <row r="197" spans="1:16" ht="25.5">
      <c r="A197" s="389" t="s">
        <v>82</v>
      </c>
      <c r="B197" s="381" t="s">
        <v>135</v>
      </c>
      <c r="C197" s="396" t="s">
        <v>94</v>
      </c>
      <c r="D197" s="158" t="s">
        <v>96</v>
      </c>
      <c r="E197" s="124" t="s">
        <v>10</v>
      </c>
      <c r="F197" s="126" t="s">
        <v>168</v>
      </c>
      <c r="G197" s="126" t="s">
        <v>168</v>
      </c>
      <c r="H197" s="126" t="s">
        <v>168</v>
      </c>
      <c r="I197" s="126" t="s">
        <v>255</v>
      </c>
      <c r="J197" s="128" t="s">
        <v>170</v>
      </c>
      <c r="K197" s="390">
        <v>120</v>
      </c>
      <c r="L197" s="154">
        <f>1814400+65000</f>
        <v>1879400</v>
      </c>
      <c r="M197" s="72">
        <v>0</v>
      </c>
      <c r="N197" s="73">
        <f>1664613+15000+500297.13</f>
        <v>2179910.13</v>
      </c>
      <c r="O197" s="72">
        <f>1831852+55000+550803.3</f>
        <v>2437655.3</v>
      </c>
      <c r="P197" s="73">
        <f>2075485+15000+624380.47</f>
        <v>2714865.4699999997</v>
      </c>
    </row>
    <row r="198" spans="1:16" ht="25.5">
      <c r="A198" s="389" t="s">
        <v>73</v>
      </c>
      <c r="B198" s="381" t="s">
        <v>135</v>
      </c>
      <c r="C198" s="396" t="s">
        <v>94</v>
      </c>
      <c r="D198" s="158" t="s">
        <v>96</v>
      </c>
      <c r="E198" s="124" t="s">
        <v>10</v>
      </c>
      <c r="F198" s="126" t="s">
        <v>168</v>
      </c>
      <c r="G198" s="126" t="s">
        <v>168</v>
      </c>
      <c r="H198" s="126" t="s">
        <v>168</v>
      </c>
      <c r="I198" s="126" t="s">
        <v>255</v>
      </c>
      <c r="J198" s="128" t="s">
        <v>170</v>
      </c>
      <c r="K198" s="390">
        <v>200</v>
      </c>
      <c r="L198" s="154">
        <f>L199</f>
        <v>82500</v>
      </c>
      <c r="M198" s="72">
        <f>M199</f>
        <v>0</v>
      </c>
      <c r="N198" s="73">
        <f>N199</f>
        <v>79100.26</v>
      </c>
      <c r="O198" s="72">
        <f>O199</f>
        <v>83874.66</v>
      </c>
      <c r="P198" s="73">
        <f>P199</f>
        <v>80594.66</v>
      </c>
    </row>
    <row r="199" spans="1:16" ht="25.5">
      <c r="A199" s="389" t="s">
        <v>75</v>
      </c>
      <c r="B199" s="381" t="s">
        <v>135</v>
      </c>
      <c r="C199" s="396" t="s">
        <v>94</v>
      </c>
      <c r="D199" s="158" t="s">
        <v>96</v>
      </c>
      <c r="E199" s="124" t="s">
        <v>10</v>
      </c>
      <c r="F199" s="126" t="s">
        <v>168</v>
      </c>
      <c r="G199" s="126" t="s">
        <v>168</v>
      </c>
      <c r="H199" s="126" t="s">
        <v>168</v>
      </c>
      <c r="I199" s="126" t="s">
        <v>255</v>
      </c>
      <c r="J199" s="128" t="s">
        <v>170</v>
      </c>
      <c r="K199" s="390">
        <v>240</v>
      </c>
      <c r="L199" s="154">
        <v>82500</v>
      </c>
      <c r="M199" s="72">
        <v>0</v>
      </c>
      <c r="N199" s="73">
        <v>79100.26</v>
      </c>
      <c r="O199" s="72">
        <v>83874.66</v>
      </c>
      <c r="P199" s="73">
        <v>80594.66</v>
      </c>
    </row>
    <row r="200" spans="1:16" ht="25.5">
      <c r="A200" s="389" t="s">
        <v>150</v>
      </c>
      <c r="B200" s="381" t="s">
        <v>135</v>
      </c>
      <c r="C200" s="396" t="s">
        <v>94</v>
      </c>
      <c r="D200" s="398" t="s">
        <v>96</v>
      </c>
      <c r="E200" s="124" t="s">
        <v>10</v>
      </c>
      <c r="F200" s="126" t="s">
        <v>168</v>
      </c>
      <c r="G200" s="126" t="s">
        <v>168</v>
      </c>
      <c r="H200" s="126" t="s">
        <v>168</v>
      </c>
      <c r="I200" s="126" t="s">
        <v>255</v>
      </c>
      <c r="J200" s="128" t="s">
        <v>167</v>
      </c>
      <c r="K200" s="390"/>
      <c r="L200" s="154">
        <f aca="true" t="shared" si="46" ref="L200:P201">L201</f>
        <v>1225000</v>
      </c>
      <c r="M200" s="72">
        <f t="shared" si="46"/>
        <v>0</v>
      </c>
      <c r="N200" s="73">
        <f t="shared" si="46"/>
        <v>1225000</v>
      </c>
      <c r="O200" s="72">
        <f t="shared" si="46"/>
        <v>1225000</v>
      </c>
      <c r="P200" s="73">
        <f t="shared" si="46"/>
        <v>1225000</v>
      </c>
    </row>
    <row r="201" spans="1:16" ht="12.75">
      <c r="A201" s="389" t="s">
        <v>127</v>
      </c>
      <c r="B201" s="381" t="s">
        <v>135</v>
      </c>
      <c r="C201" s="396" t="s">
        <v>94</v>
      </c>
      <c r="D201" s="398" t="s">
        <v>96</v>
      </c>
      <c r="E201" s="124" t="s">
        <v>10</v>
      </c>
      <c r="F201" s="126" t="s">
        <v>168</v>
      </c>
      <c r="G201" s="126" t="s">
        <v>168</v>
      </c>
      <c r="H201" s="126" t="s">
        <v>168</v>
      </c>
      <c r="I201" s="126" t="s">
        <v>255</v>
      </c>
      <c r="J201" s="128" t="s">
        <v>167</v>
      </c>
      <c r="K201" s="390" t="s">
        <v>140</v>
      </c>
      <c r="L201" s="154">
        <f t="shared" si="46"/>
        <v>1225000</v>
      </c>
      <c r="M201" s="72">
        <f t="shared" si="46"/>
        <v>0</v>
      </c>
      <c r="N201" s="73">
        <f t="shared" si="46"/>
        <v>1225000</v>
      </c>
      <c r="O201" s="72">
        <f t="shared" si="46"/>
        <v>1225000</v>
      </c>
      <c r="P201" s="73">
        <f t="shared" si="46"/>
        <v>1225000</v>
      </c>
    </row>
    <row r="202" spans="1:16" ht="12.75">
      <c r="A202" s="389" t="s">
        <v>88</v>
      </c>
      <c r="B202" s="381" t="s">
        <v>135</v>
      </c>
      <c r="C202" s="396" t="s">
        <v>94</v>
      </c>
      <c r="D202" s="398" t="s">
        <v>96</v>
      </c>
      <c r="E202" s="124" t="s">
        <v>10</v>
      </c>
      <c r="F202" s="126" t="s">
        <v>168</v>
      </c>
      <c r="G202" s="126" t="s">
        <v>168</v>
      </c>
      <c r="H202" s="126" t="s">
        <v>168</v>
      </c>
      <c r="I202" s="126" t="s">
        <v>255</v>
      </c>
      <c r="J202" s="128" t="s">
        <v>167</v>
      </c>
      <c r="K202" s="390" t="s">
        <v>89</v>
      </c>
      <c r="L202" s="154">
        <v>1225000</v>
      </c>
      <c r="M202" s="72">
        <v>0</v>
      </c>
      <c r="N202" s="73">
        <v>1225000</v>
      </c>
      <c r="O202" s="72">
        <v>1225000</v>
      </c>
      <c r="P202" s="73">
        <v>1225000</v>
      </c>
    </row>
    <row r="203" spans="1:16" ht="25.5">
      <c r="A203" s="397" t="s">
        <v>40</v>
      </c>
      <c r="B203" s="381" t="s">
        <v>135</v>
      </c>
      <c r="C203" s="396" t="s">
        <v>94</v>
      </c>
      <c r="D203" s="158" t="s">
        <v>96</v>
      </c>
      <c r="E203" s="124" t="s">
        <v>10</v>
      </c>
      <c r="F203" s="126" t="s">
        <v>168</v>
      </c>
      <c r="G203" s="126" t="s">
        <v>168</v>
      </c>
      <c r="H203" s="126" t="s">
        <v>168</v>
      </c>
      <c r="I203" s="126" t="s">
        <v>36</v>
      </c>
      <c r="J203" s="128" t="s">
        <v>168</v>
      </c>
      <c r="K203" s="390"/>
      <c r="L203" s="154">
        <f>L204+L206</f>
        <v>40542700</v>
      </c>
      <c r="M203" s="72">
        <f>M204+M206</f>
        <v>0</v>
      </c>
      <c r="N203" s="73">
        <f>N204+N206</f>
        <v>57738164.65</v>
      </c>
      <c r="O203" s="72">
        <f>O204+O206</f>
        <v>57738164.65</v>
      </c>
      <c r="P203" s="73">
        <f>P204+P206</f>
        <v>57738164.65</v>
      </c>
    </row>
    <row r="204" spans="1:20" ht="51">
      <c r="A204" s="389" t="s">
        <v>92</v>
      </c>
      <c r="B204" s="381" t="s">
        <v>135</v>
      </c>
      <c r="C204" s="396" t="s">
        <v>94</v>
      </c>
      <c r="D204" s="158" t="s">
        <v>96</v>
      </c>
      <c r="E204" s="124" t="s">
        <v>10</v>
      </c>
      <c r="F204" s="126" t="s">
        <v>168</v>
      </c>
      <c r="G204" s="126" t="s">
        <v>168</v>
      </c>
      <c r="H204" s="126" t="s">
        <v>168</v>
      </c>
      <c r="I204" s="126" t="s">
        <v>36</v>
      </c>
      <c r="J204" s="128" t="s">
        <v>168</v>
      </c>
      <c r="K204" s="390">
        <v>100</v>
      </c>
      <c r="L204" s="154">
        <f>L205</f>
        <v>38788800</v>
      </c>
      <c r="M204" s="72">
        <f>M205</f>
        <v>0</v>
      </c>
      <c r="N204" s="73">
        <f>N205</f>
        <v>55589164.65</v>
      </c>
      <c r="O204" s="72">
        <f>O205</f>
        <v>55589164.65</v>
      </c>
      <c r="P204" s="73">
        <f>P205</f>
        <v>55589164.65</v>
      </c>
      <c r="R204" s="394">
        <f>N197+N199+N201+N365+N367</f>
        <v>8856328.74</v>
      </c>
      <c r="S204" s="394">
        <f>O197+O199+O202+O366+O368</f>
        <v>9536857.889999999</v>
      </c>
      <c r="T204" s="394">
        <f>P199+P197+P202+P366+P368</f>
        <v>10620691.22</v>
      </c>
    </row>
    <row r="205" spans="1:20" ht="25.5">
      <c r="A205" s="389" t="s">
        <v>82</v>
      </c>
      <c r="B205" s="381" t="s">
        <v>135</v>
      </c>
      <c r="C205" s="396" t="s">
        <v>94</v>
      </c>
      <c r="D205" s="158" t="s">
        <v>96</v>
      </c>
      <c r="E205" s="124" t="s">
        <v>10</v>
      </c>
      <c r="F205" s="126" t="s">
        <v>168</v>
      </c>
      <c r="G205" s="126" t="s">
        <v>168</v>
      </c>
      <c r="H205" s="126" t="s">
        <v>168</v>
      </c>
      <c r="I205" s="126" t="s">
        <v>36</v>
      </c>
      <c r="J205" s="128" t="s">
        <v>168</v>
      </c>
      <c r="K205" s="390">
        <v>120</v>
      </c>
      <c r="L205" s="130">
        <v>38788800</v>
      </c>
      <c r="M205" s="447">
        <v>0</v>
      </c>
      <c r="N205" s="448">
        <f>57738164.65-2149000</f>
        <v>55589164.65</v>
      </c>
      <c r="O205" s="447">
        <f>57738164.65-2149000</f>
        <v>55589164.65</v>
      </c>
      <c r="P205" s="448">
        <f>57738164.65-2149000</f>
        <v>55589164.65</v>
      </c>
      <c r="R205" s="355">
        <v>8856328.74</v>
      </c>
      <c r="S205" s="355">
        <v>9536857.89</v>
      </c>
      <c r="T205" s="355">
        <v>10620691.22</v>
      </c>
    </row>
    <row r="206" spans="1:20" ht="25.5">
      <c r="A206" s="389" t="s">
        <v>73</v>
      </c>
      <c r="B206" s="381" t="s">
        <v>135</v>
      </c>
      <c r="C206" s="396" t="s">
        <v>94</v>
      </c>
      <c r="D206" s="158" t="s">
        <v>96</v>
      </c>
      <c r="E206" s="124" t="s">
        <v>10</v>
      </c>
      <c r="F206" s="126" t="s">
        <v>168</v>
      </c>
      <c r="G206" s="126" t="s">
        <v>168</v>
      </c>
      <c r="H206" s="126" t="s">
        <v>168</v>
      </c>
      <c r="I206" s="126" t="s">
        <v>36</v>
      </c>
      <c r="J206" s="128" t="s">
        <v>168</v>
      </c>
      <c r="K206" s="390">
        <v>200</v>
      </c>
      <c r="L206" s="130">
        <f>L207</f>
        <v>1753900</v>
      </c>
      <c r="M206" s="447">
        <f>M207</f>
        <v>0</v>
      </c>
      <c r="N206" s="448">
        <f>N207</f>
        <v>2149000</v>
      </c>
      <c r="O206" s="447">
        <f>O207</f>
        <v>2149000</v>
      </c>
      <c r="P206" s="448">
        <f>P207</f>
        <v>2149000</v>
      </c>
      <c r="R206" s="394">
        <f>R204-R205</f>
        <v>0</v>
      </c>
      <c r="S206" s="394">
        <f>S204-S205</f>
        <v>0</v>
      </c>
      <c r="T206" s="394">
        <f>T204-T205</f>
        <v>0</v>
      </c>
    </row>
    <row r="207" spans="1:16" ht="25.5">
      <c r="A207" s="389" t="s">
        <v>75</v>
      </c>
      <c r="B207" s="381" t="s">
        <v>135</v>
      </c>
      <c r="C207" s="396" t="s">
        <v>94</v>
      </c>
      <c r="D207" s="158" t="s">
        <v>96</v>
      </c>
      <c r="E207" s="124" t="s">
        <v>10</v>
      </c>
      <c r="F207" s="126" t="s">
        <v>168</v>
      </c>
      <c r="G207" s="126" t="s">
        <v>168</v>
      </c>
      <c r="H207" s="126" t="s">
        <v>168</v>
      </c>
      <c r="I207" s="126" t="s">
        <v>36</v>
      </c>
      <c r="J207" s="128" t="s">
        <v>168</v>
      </c>
      <c r="K207" s="390">
        <v>240</v>
      </c>
      <c r="L207" s="130">
        <f>1753900</f>
        <v>1753900</v>
      </c>
      <c r="M207" s="447">
        <v>0</v>
      </c>
      <c r="N207" s="448">
        <v>2149000</v>
      </c>
      <c r="O207" s="447">
        <v>2149000</v>
      </c>
      <c r="P207" s="448">
        <v>2149000</v>
      </c>
    </row>
    <row r="208" spans="1:16" ht="12.75">
      <c r="A208" s="389" t="s">
        <v>239</v>
      </c>
      <c r="B208" s="381" t="s">
        <v>135</v>
      </c>
      <c r="C208" s="396" t="s">
        <v>94</v>
      </c>
      <c r="D208" s="158" t="s">
        <v>98</v>
      </c>
      <c r="E208" s="124"/>
      <c r="F208" s="126"/>
      <c r="G208" s="126"/>
      <c r="H208" s="126"/>
      <c r="I208" s="126"/>
      <c r="J208" s="128"/>
      <c r="K208" s="390"/>
      <c r="L208" s="154">
        <f aca="true" t="shared" si="47" ref="L208:N211">L209</f>
        <v>141147.63</v>
      </c>
      <c r="M208" s="72">
        <f t="shared" si="47"/>
        <v>0</v>
      </c>
      <c r="N208" s="73">
        <f>N209</f>
        <v>2901.65</v>
      </c>
      <c r="O208" s="72">
        <f aca="true" t="shared" si="48" ref="O208:P211">O209</f>
        <v>2586.48</v>
      </c>
      <c r="P208" s="73">
        <f t="shared" si="48"/>
        <v>2586.58</v>
      </c>
    </row>
    <row r="209" spans="1:16" ht="25.5">
      <c r="A209" s="389" t="s">
        <v>43</v>
      </c>
      <c r="B209" s="381" t="s">
        <v>135</v>
      </c>
      <c r="C209" s="396" t="s">
        <v>94</v>
      </c>
      <c r="D209" s="158" t="s">
        <v>98</v>
      </c>
      <c r="E209" s="124" t="s">
        <v>10</v>
      </c>
      <c r="F209" s="126" t="s">
        <v>168</v>
      </c>
      <c r="G209" s="126" t="s">
        <v>168</v>
      </c>
      <c r="H209" s="126" t="s">
        <v>168</v>
      </c>
      <c r="I209" s="126" t="s">
        <v>169</v>
      </c>
      <c r="J209" s="128" t="s">
        <v>168</v>
      </c>
      <c r="K209" s="390"/>
      <c r="L209" s="154">
        <f t="shared" si="47"/>
        <v>141147.63</v>
      </c>
      <c r="M209" s="72">
        <f t="shared" si="47"/>
        <v>0</v>
      </c>
      <c r="N209" s="73">
        <f t="shared" si="47"/>
        <v>2901.65</v>
      </c>
      <c r="O209" s="72">
        <f t="shared" si="48"/>
        <v>2586.48</v>
      </c>
      <c r="P209" s="73">
        <f t="shared" si="48"/>
        <v>2586.58</v>
      </c>
    </row>
    <row r="210" spans="1:16" ht="38.25">
      <c r="A210" s="389" t="s">
        <v>240</v>
      </c>
      <c r="B210" s="381" t="s">
        <v>135</v>
      </c>
      <c r="C210" s="396" t="s">
        <v>94</v>
      </c>
      <c r="D210" s="158" t="s">
        <v>98</v>
      </c>
      <c r="E210" s="124" t="s">
        <v>10</v>
      </c>
      <c r="F210" s="126" t="s">
        <v>168</v>
      </c>
      <c r="G210" s="126" t="s">
        <v>168</v>
      </c>
      <c r="H210" s="126" t="s">
        <v>168</v>
      </c>
      <c r="I210" s="126" t="s">
        <v>238</v>
      </c>
      <c r="J210" s="128" t="s">
        <v>168</v>
      </c>
      <c r="K210" s="390"/>
      <c r="L210" s="154">
        <f t="shared" si="47"/>
        <v>141147.63</v>
      </c>
      <c r="M210" s="72">
        <f t="shared" si="47"/>
        <v>0</v>
      </c>
      <c r="N210" s="73">
        <f t="shared" si="47"/>
        <v>2901.65</v>
      </c>
      <c r="O210" s="72">
        <f t="shared" si="48"/>
        <v>2586.48</v>
      </c>
      <c r="P210" s="73">
        <f t="shared" si="48"/>
        <v>2586.58</v>
      </c>
    </row>
    <row r="211" spans="1:16" ht="25.5">
      <c r="A211" s="389" t="s">
        <v>73</v>
      </c>
      <c r="B211" s="381" t="s">
        <v>135</v>
      </c>
      <c r="C211" s="396" t="s">
        <v>94</v>
      </c>
      <c r="D211" s="158" t="s">
        <v>98</v>
      </c>
      <c r="E211" s="124" t="s">
        <v>10</v>
      </c>
      <c r="F211" s="126" t="s">
        <v>168</v>
      </c>
      <c r="G211" s="126" t="s">
        <v>168</v>
      </c>
      <c r="H211" s="126" t="s">
        <v>168</v>
      </c>
      <c r="I211" s="126" t="s">
        <v>238</v>
      </c>
      <c r="J211" s="128" t="s">
        <v>168</v>
      </c>
      <c r="K211" s="390" t="s">
        <v>74</v>
      </c>
      <c r="L211" s="154">
        <f t="shared" si="47"/>
        <v>141147.63</v>
      </c>
      <c r="M211" s="72">
        <f t="shared" si="47"/>
        <v>0</v>
      </c>
      <c r="N211" s="73">
        <f t="shared" si="47"/>
        <v>2901.65</v>
      </c>
      <c r="O211" s="72">
        <f t="shared" si="48"/>
        <v>2586.48</v>
      </c>
      <c r="P211" s="73">
        <f t="shared" si="48"/>
        <v>2586.58</v>
      </c>
    </row>
    <row r="212" spans="1:16" ht="25.5">
      <c r="A212" s="389" t="s">
        <v>75</v>
      </c>
      <c r="B212" s="381" t="s">
        <v>135</v>
      </c>
      <c r="C212" s="396" t="s">
        <v>94</v>
      </c>
      <c r="D212" s="158" t="s">
        <v>98</v>
      </c>
      <c r="E212" s="124" t="s">
        <v>10</v>
      </c>
      <c r="F212" s="126" t="s">
        <v>168</v>
      </c>
      <c r="G212" s="126" t="s">
        <v>168</v>
      </c>
      <c r="H212" s="126" t="s">
        <v>168</v>
      </c>
      <c r="I212" s="126" t="s">
        <v>238</v>
      </c>
      <c r="J212" s="128" t="s">
        <v>168</v>
      </c>
      <c r="K212" s="390" t="s">
        <v>76</v>
      </c>
      <c r="L212" s="154">
        <v>141147.63</v>
      </c>
      <c r="M212" s="72">
        <v>0</v>
      </c>
      <c r="N212" s="73">
        <v>2901.65</v>
      </c>
      <c r="O212" s="72">
        <v>2586.48</v>
      </c>
      <c r="P212" s="73">
        <v>2586.58</v>
      </c>
    </row>
    <row r="213" spans="1:16" ht="12.75">
      <c r="A213" s="380" t="s">
        <v>124</v>
      </c>
      <c r="B213" s="381" t="s">
        <v>135</v>
      </c>
      <c r="C213" s="382" t="s">
        <v>94</v>
      </c>
      <c r="D213" s="198" t="s">
        <v>147</v>
      </c>
      <c r="E213" s="198"/>
      <c r="F213" s="199"/>
      <c r="G213" s="126"/>
      <c r="H213" s="126"/>
      <c r="I213" s="199"/>
      <c r="J213" s="183"/>
      <c r="K213" s="393"/>
      <c r="L213" s="421" t="e">
        <f>#REF!+L221+L214</f>
        <v>#REF!</v>
      </c>
      <c r="M213" s="422" t="e">
        <f>#REF!+M221+M214</f>
        <v>#REF!</v>
      </c>
      <c r="N213" s="423">
        <f>N221+N214+N225</f>
        <v>28598975.79</v>
      </c>
      <c r="O213" s="422">
        <f>O221+O214+O225</f>
        <v>26133303.6</v>
      </c>
      <c r="P213" s="423">
        <f>P221+P214+P225</f>
        <v>21944326.13</v>
      </c>
    </row>
    <row r="214" spans="1:16" ht="38.25">
      <c r="A214" s="449" t="s">
        <v>369</v>
      </c>
      <c r="B214" s="432">
        <v>331</v>
      </c>
      <c r="C214" s="382" t="s">
        <v>94</v>
      </c>
      <c r="D214" s="198" t="s">
        <v>147</v>
      </c>
      <c r="E214" s="152" t="s">
        <v>99</v>
      </c>
      <c r="F214" s="153" t="s">
        <v>168</v>
      </c>
      <c r="G214" s="126" t="s">
        <v>168</v>
      </c>
      <c r="H214" s="126" t="s">
        <v>168</v>
      </c>
      <c r="I214" s="153" t="s">
        <v>169</v>
      </c>
      <c r="J214" s="128" t="s">
        <v>168</v>
      </c>
      <c r="K214" s="400"/>
      <c r="L214" s="154">
        <f aca="true" t="shared" si="49" ref="L214:P215">L215</f>
        <v>13600</v>
      </c>
      <c r="M214" s="72">
        <f t="shared" si="49"/>
        <v>0</v>
      </c>
      <c r="N214" s="73">
        <f t="shared" si="49"/>
        <v>13600</v>
      </c>
      <c r="O214" s="72">
        <f t="shared" si="49"/>
        <v>13600</v>
      </c>
      <c r="P214" s="73">
        <f t="shared" si="49"/>
        <v>13600</v>
      </c>
    </row>
    <row r="215" spans="1:16" ht="25.5">
      <c r="A215" s="401" t="s">
        <v>275</v>
      </c>
      <c r="B215" s="432">
        <v>331</v>
      </c>
      <c r="C215" s="382" t="s">
        <v>94</v>
      </c>
      <c r="D215" s="198" t="s">
        <v>147</v>
      </c>
      <c r="E215" s="158" t="s">
        <v>99</v>
      </c>
      <c r="F215" s="159" t="s">
        <v>170</v>
      </c>
      <c r="G215" s="126" t="s">
        <v>168</v>
      </c>
      <c r="H215" s="126" t="s">
        <v>168</v>
      </c>
      <c r="I215" s="159" t="s">
        <v>169</v>
      </c>
      <c r="J215" s="128" t="s">
        <v>168</v>
      </c>
      <c r="K215" s="399"/>
      <c r="L215" s="279">
        <f t="shared" si="49"/>
        <v>13600</v>
      </c>
      <c r="M215" s="387">
        <f t="shared" si="49"/>
        <v>0</v>
      </c>
      <c r="N215" s="388">
        <f t="shared" si="49"/>
        <v>13600</v>
      </c>
      <c r="O215" s="387">
        <f t="shared" si="49"/>
        <v>13600</v>
      </c>
      <c r="P215" s="388">
        <f t="shared" si="49"/>
        <v>13600</v>
      </c>
    </row>
    <row r="216" spans="1:16" ht="12.75">
      <c r="A216" s="401" t="s">
        <v>274</v>
      </c>
      <c r="B216" s="432">
        <v>331</v>
      </c>
      <c r="C216" s="382" t="s">
        <v>94</v>
      </c>
      <c r="D216" s="198" t="s">
        <v>147</v>
      </c>
      <c r="E216" s="158" t="s">
        <v>99</v>
      </c>
      <c r="F216" s="159" t="s">
        <v>170</v>
      </c>
      <c r="G216" s="126" t="s">
        <v>168</v>
      </c>
      <c r="H216" s="126" t="s">
        <v>168</v>
      </c>
      <c r="I216" s="159" t="s">
        <v>276</v>
      </c>
      <c r="J216" s="128" t="s">
        <v>168</v>
      </c>
      <c r="K216" s="399"/>
      <c r="L216" s="279">
        <f>L217+L219</f>
        <v>13600</v>
      </c>
      <c r="M216" s="387">
        <f>M217+M219</f>
        <v>0</v>
      </c>
      <c r="N216" s="388">
        <f>N217+N219</f>
        <v>13600</v>
      </c>
      <c r="O216" s="387">
        <f>O217+O219</f>
        <v>13600</v>
      </c>
      <c r="P216" s="388">
        <f>P217+P219</f>
        <v>13600</v>
      </c>
    </row>
    <row r="217" spans="1:16" ht="25.5">
      <c r="A217" s="401" t="s">
        <v>73</v>
      </c>
      <c r="B217" s="432">
        <v>331</v>
      </c>
      <c r="C217" s="382" t="s">
        <v>94</v>
      </c>
      <c r="D217" s="198" t="s">
        <v>147</v>
      </c>
      <c r="E217" s="158" t="s">
        <v>99</v>
      </c>
      <c r="F217" s="159" t="s">
        <v>170</v>
      </c>
      <c r="G217" s="126" t="s">
        <v>168</v>
      </c>
      <c r="H217" s="126" t="s">
        <v>168</v>
      </c>
      <c r="I217" s="159" t="s">
        <v>276</v>
      </c>
      <c r="J217" s="128" t="s">
        <v>168</v>
      </c>
      <c r="K217" s="399" t="s">
        <v>74</v>
      </c>
      <c r="L217" s="279">
        <f>L218</f>
        <v>3600</v>
      </c>
      <c r="M217" s="387">
        <f>M218</f>
        <v>0</v>
      </c>
      <c r="N217" s="388">
        <f>N218</f>
        <v>3600</v>
      </c>
      <c r="O217" s="387">
        <f>O218</f>
        <v>3600</v>
      </c>
      <c r="P217" s="388">
        <f>P218</f>
        <v>3600</v>
      </c>
    </row>
    <row r="218" spans="1:16" ht="25.5">
      <c r="A218" s="401" t="s">
        <v>75</v>
      </c>
      <c r="B218" s="432">
        <v>331</v>
      </c>
      <c r="C218" s="382" t="s">
        <v>94</v>
      </c>
      <c r="D218" s="198" t="s">
        <v>147</v>
      </c>
      <c r="E218" s="158" t="s">
        <v>99</v>
      </c>
      <c r="F218" s="159" t="s">
        <v>170</v>
      </c>
      <c r="G218" s="126" t="s">
        <v>168</v>
      </c>
      <c r="H218" s="126" t="s">
        <v>168</v>
      </c>
      <c r="I218" s="159" t="s">
        <v>276</v>
      </c>
      <c r="J218" s="128" t="s">
        <v>168</v>
      </c>
      <c r="K218" s="399" t="s">
        <v>76</v>
      </c>
      <c r="L218" s="279">
        <v>3600</v>
      </c>
      <c r="M218" s="387">
        <v>0</v>
      </c>
      <c r="N218" s="388">
        <v>3600</v>
      </c>
      <c r="O218" s="387">
        <v>3600</v>
      </c>
      <c r="P218" s="388">
        <v>3600</v>
      </c>
    </row>
    <row r="219" spans="1:16" ht="17.25" customHeight="1">
      <c r="A219" s="450" t="s">
        <v>188</v>
      </c>
      <c r="B219" s="432">
        <v>331</v>
      </c>
      <c r="C219" s="382" t="s">
        <v>94</v>
      </c>
      <c r="D219" s="198" t="s">
        <v>147</v>
      </c>
      <c r="E219" s="158" t="s">
        <v>99</v>
      </c>
      <c r="F219" s="159" t="s">
        <v>170</v>
      </c>
      <c r="G219" s="126" t="s">
        <v>168</v>
      </c>
      <c r="H219" s="126" t="s">
        <v>168</v>
      </c>
      <c r="I219" s="159" t="s">
        <v>276</v>
      </c>
      <c r="J219" s="128" t="s">
        <v>168</v>
      </c>
      <c r="K219" s="399" t="s">
        <v>78</v>
      </c>
      <c r="L219" s="279">
        <f>L220</f>
        <v>10000</v>
      </c>
      <c r="M219" s="387">
        <f>M220</f>
        <v>0</v>
      </c>
      <c r="N219" s="388">
        <f>N220</f>
        <v>10000</v>
      </c>
      <c r="O219" s="387">
        <f>O220</f>
        <v>10000</v>
      </c>
      <c r="P219" s="388">
        <f>P220</f>
        <v>10000</v>
      </c>
    </row>
    <row r="220" spans="1:16" ht="12.75">
      <c r="A220" s="389" t="s">
        <v>189</v>
      </c>
      <c r="B220" s="432">
        <v>331</v>
      </c>
      <c r="C220" s="382" t="s">
        <v>94</v>
      </c>
      <c r="D220" s="198" t="s">
        <v>147</v>
      </c>
      <c r="E220" s="158" t="s">
        <v>99</v>
      </c>
      <c r="F220" s="159" t="s">
        <v>170</v>
      </c>
      <c r="G220" s="126" t="s">
        <v>168</v>
      </c>
      <c r="H220" s="126" t="s">
        <v>168</v>
      </c>
      <c r="I220" s="159" t="s">
        <v>276</v>
      </c>
      <c r="J220" s="128" t="s">
        <v>168</v>
      </c>
      <c r="K220" s="399" t="s">
        <v>187</v>
      </c>
      <c r="L220" s="279">
        <v>10000</v>
      </c>
      <c r="M220" s="387">
        <v>0</v>
      </c>
      <c r="N220" s="388">
        <v>10000</v>
      </c>
      <c r="O220" s="387">
        <v>10000</v>
      </c>
      <c r="P220" s="388">
        <v>10000</v>
      </c>
    </row>
    <row r="221" spans="1:16" ht="25.5">
      <c r="A221" s="380" t="s">
        <v>378</v>
      </c>
      <c r="B221" s="381" t="s">
        <v>135</v>
      </c>
      <c r="C221" s="396" t="s">
        <v>94</v>
      </c>
      <c r="D221" s="158" t="s">
        <v>147</v>
      </c>
      <c r="E221" s="124" t="s">
        <v>241</v>
      </c>
      <c r="F221" s="126" t="s">
        <v>168</v>
      </c>
      <c r="G221" s="126" t="s">
        <v>168</v>
      </c>
      <c r="H221" s="126" t="s">
        <v>168</v>
      </c>
      <c r="I221" s="126" t="s">
        <v>169</v>
      </c>
      <c r="J221" s="128" t="s">
        <v>168</v>
      </c>
      <c r="K221" s="390"/>
      <c r="L221" s="421">
        <f aca="true" t="shared" si="50" ref="L221:P223">L222</f>
        <v>605700</v>
      </c>
      <c r="M221" s="422">
        <f t="shared" si="50"/>
        <v>0</v>
      </c>
      <c r="N221" s="423">
        <f t="shared" si="50"/>
        <v>3000000</v>
      </c>
      <c r="O221" s="422">
        <f t="shared" si="50"/>
        <v>605700</v>
      </c>
      <c r="P221" s="423">
        <f t="shared" si="50"/>
        <v>605700</v>
      </c>
    </row>
    <row r="222" spans="1:16" ht="38.25">
      <c r="A222" s="401" t="s">
        <v>63</v>
      </c>
      <c r="B222" s="381" t="s">
        <v>135</v>
      </c>
      <c r="C222" s="396" t="s">
        <v>94</v>
      </c>
      <c r="D222" s="158" t="s">
        <v>147</v>
      </c>
      <c r="E222" s="124" t="s">
        <v>241</v>
      </c>
      <c r="F222" s="126" t="s">
        <v>168</v>
      </c>
      <c r="G222" s="126" t="s">
        <v>168</v>
      </c>
      <c r="H222" s="126" t="s">
        <v>168</v>
      </c>
      <c r="I222" s="126" t="s">
        <v>362</v>
      </c>
      <c r="J222" s="128" t="s">
        <v>168</v>
      </c>
      <c r="K222" s="390"/>
      <c r="L222" s="421">
        <f t="shared" si="50"/>
        <v>605700</v>
      </c>
      <c r="M222" s="422">
        <f t="shared" si="50"/>
        <v>0</v>
      </c>
      <c r="N222" s="423">
        <f t="shared" si="50"/>
        <v>3000000</v>
      </c>
      <c r="O222" s="422">
        <f t="shared" si="50"/>
        <v>605700</v>
      </c>
      <c r="P222" s="423">
        <f t="shared" si="50"/>
        <v>605700</v>
      </c>
    </row>
    <row r="223" spans="1:16" ht="12.75">
      <c r="A223" s="389" t="s">
        <v>83</v>
      </c>
      <c r="B223" s="381" t="s">
        <v>135</v>
      </c>
      <c r="C223" s="396" t="s">
        <v>94</v>
      </c>
      <c r="D223" s="158" t="s">
        <v>147</v>
      </c>
      <c r="E223" s="124" t="s">
        <v>241</v>
      </c>
      <c r="F223" s="126" t="s">
        <v>168</v>
      </c>
      <c r="G223" s="126" t="s">
        <v>168</v>
      </c>
      <c r="H223" s="126" t="s">
        <v>168</v>
      </c>
      <c r="I223" s="126" t="s">
        <v>362</v>
      </c>
      <c r="J223" s="128" t="s">
        <v>168</v>
      </c>
      <c r="K223" s="390" t="s">
        <v>84</v>
      </c>
      <c r="L223" s="421">
        <f t="shared" si="50"/>
        <v>605700</v>
      </c>
      <c r="M223" s="422">
        <f t="shared" si="50"/>
        <v>0</v>
      </c>
      <c r="N223" s="423">
        <f t="shared" si="50"/>
        <v>3000000</v>
      </c>
      <c r="O223" s="422">
        <f t="shared" si="50"/>
        <v>605700</v>
      </c>
      <c r="P223" s="423">
        <f t="shared" si="50"/>
        <v>605700</v>
      </c>
    </row>
    <row r="224" spans="1:16" ht="38.25">
      <c r="A224" s="389" t="s">
        <v>209</v>
      </c>
      <c r="B224" s="381" t="s">
        <v>135</v>
      </c>
      <c r="C224" s="396" t="s">
        <v>94</v>
      </c>
      <c r="D224" s="158" t="s">
        <v>147</v>
      </c>
      <c r="E224" s="124" t="s">
        <v>241</v>
      </c>
      <c r="F224" s="126" t="s">
        <v>168</v>
      </c>
      <c r="G224" s="126" t="s">
        <v>168</v>
      </c>
      <c r="H224" s="126" t="s">
        <v>168</v>
      </c>
      <c r="I224" s="126" t="s">
        <v>362</v>
      </c>
      <c r="J224" s="128" t="s">
        <v>168</v>
      </c>
      <c r="K224" s="390" t="s">
        <v>173</v>
      </c>
      <c r="L224" s="421">
        <v>605700</v>
      </c>
      <c r="M224" s="422">
        <v>0</v>
      </c>
      <c r="N224" s="423">
        <f>2850000+150000</f>
        <v>3000000</v>
      </c>
      <c r="O224" s="422">
        <v>605700</v>
      </c>
      <c r="P224" s="423">
        <v>605700</v>
      </c>
    </row>
    <row r="225" spans="1:16" ht="25.5">
      <c r="A225" s="389" t="s">
        <v>66</v>
      </c>
      <c r="B225" s="381" t="s">
        <v>135</v>
      </c>
      <c r="C225" s="382" t="s">
        <v>94</v>
      </c>
      <c r="D225" s="198" t="s">
        <v>147</v>
      </c>
      <c r="E225" s="124" t="s">
        <v>12</v>
      </c>
      <c r="F225" s="126" t="s">
        <v>168</v>
      </c>
      <c r="G225" s="126" t="s">
        <v>168</v>
      </c>
      <c r="H225" s="126" t="s">
        <v>168</v>
      </c>
      <c r="I225" s="126" t="s">
        <v>169</v>
      </c>
      <c r="J225" s="128" t="s">
        <v>168</v>
      </c>
      <c r="K225" s="390"/>
      <c r="L225" s="421"/>
      <c r="M225" s="422"/>
      <c r="N225" s="423">
        <f>N226+N236+N245+N248</f>
        <v>25585375.79</v>
      </c>
      <c r="O225" s="422">
        <f>O226+O236+O245+O248</f>
        <v>25514003.6</v>
      </c>
      <c r="P225" s="423">
        <f>P226+P236+P245+P248</f>
        <v>21325026.13</v>
      </c>
    </row>
    <row r="226" spans="1:16" ht="25.5">
      <c r="A226" s="389" t="s">
        <v>72</v>
      </c>
      <c r="B226" s="381" t="s">
        <v>135</v>
      </c>
      <c r="C226" s="382" t="s">
        <v>94</v>
      </c>
      <c r="D226" s="198" t="s">
        <v>147</v>
      </c>
      <c r="E226" s="124" t="s">
        <v>12</v>
      </c>
      <c r="F226" s="126" t="s">
        <v>168</v>
      </c>
      <c r="G226" s="126" t="s">
        <v>168</v>
      </c>
      <c r="H226" s="126" t="s">
        <v>168</v>
      </c>
      <c r="I226" s="126" t="s">
        <v>21</v>
      </c>
      <c r="J226" s="128" t="s">
        <v>168</v>
      </c>
      <c r="K226" s="390"/>
      <c r="L226" s="154">
        <f>L227+L229+L231</f>
        <v>16345038.829999998</v>
      </c>
      <c r="M226" s="72">
        <f>M227+M229+M231</f>
        <v>0</v>
      </c>
      <c r="N226" s="73">
        <f>N227+N229+N231</f>
        <v>20479931.73</v>
      </c>
      <c r="O226" s="72">
        <f>O227+O229+O231</f>
        <v>20479931.73</v>
      </c>
      <c r="P226" s="73">
        <f>P227+P229+P231</f>
        <v>20479931.73</v>
      </c>
    </row>
    <row r="227" spans="1:16" ht="51">
      <c r="A227" s="389" t="s">
        <v>92</v>
      </c>
      <c r="B227" s="381" t="s">
        <v>135</v>
      </c>
      <c r="C227" s="382" t="s">
        <v>94</v>
      </c>
      <c r="D227" s="198" t="s">
        <v>147</v>
      </c>
      <c r="E227" s="124" t="s">
        <v>12</v>
      </c>
      <c r="F227" s="126" t="s">
        <v>168</v>
      </c>
      <c r="G227" s="126" t="s">
        <v>168</v>
      </c>
      <c r="H227" s="126" t="s">
        <v>168</v>
      </c>
      <c r="I227" s="126" t="s">
        <v>21</v>
      </c>
      <c r="J227" s="128" t="s">
        <v>168</v>
      </c>
      <c r="K227" s="390">
        <v>100</v>
      </c>
      <c r="L227" s="154">
        <f>L228</f>
        <v>10190538.37</v>
      </c>
      <c r="M227" s="72">
        <f>M228</f>
        <v>0</v>
      </c>
      <c r="N227" s="73">
        <f>N228</f>
        <v>13523454.06</v>
      </c>
      <c r="O227" s="72">
        <f>O228</f>
        <v>13523454.06</v>
      </c>
      <c r="P227" s="73">
        <f>P228</f>
        <v>13523454.06</v>
      </c>
    </row>
    <row r="228" spans="1:16" ht="12.75">
      <c r="A228" s="389" t="s">
        <v>160</v>
      </c>
      <c r="B228" s="381" t="s">
        <v>135</v>
      </c>
      <c r="C228" s="382" t="s">
        <v>94</v>
      </c>
      <c r="D228" s="198" t="s">
        <v>147</v>
      </c>
      <c r="E228" s="124" t="s">
        <v>12</v>
      </c>
      <c r="F228" s="126" t="s">
        <v>168</v>
      </c>
      <c r="G228" s="126" t="s">
        <v>168</v>
      </c>
      <c r="H228" s="126" t="s">
        <v>168</v>
      </c>
      <c r="I228" s="126" t="s">
        <v>21</v>
      </c>
      <c r="J228" s="128" t="s">
        <v>168</v>
      </c>
      <c r="K228" s="390" t="s">
        <v>87</v>
      </c>
      <c r="L228" s="154">
        <v>10190538.37</v>
      </c>
      <c r="M228" s="72">
        <v>0</v>
      </c>
      <c r="N228" s="73">
        <v>13523454.06</v>
      </c>
      <c r="O228" s="72">
        <v>13523454.06</v>
      </c>
      <c r="P228" s="73">
        <v>13523454.06</v>
      </c>
    </row>
    <row r="229" spans="1:16" ht="25.5">
      <c r="A229" s="389" t="s">
        <v>73</v>
      </c>
      <c r="B229" s="381" t="s">
        <v>135</v>
      </c>
      <c r="C229" s="382" t="s">
        <v>94</v>
      </c>
      <c r="D229" s="198" t="s">
        <v>147</v>
      </c>
      <c r="E229" s="124" t="s">
        <v>12</v>
      </c>
      <c r="F229" s="126" t="s">
        <v>168</v>
      </c>
      <c r="G229" s="126" t="s">
        <v>168</v>
      </c>
      <c r="H229" s="126" t="s">
        <v>168</v>
      </c>
      <c r="I229" s="126" t="s">
        <v>21</v>
      </c>
      <c r="J229" s="128" t="s">
        <v>168</v>
      </c>
      <c r="K229" s="390">
        <v>200</v>
      </c>
      <c r="L229" s="154">
        <f>L230</f>
        <v>5994436.46</v>
      </c>
      <c r="M229" s="72">
        <f>M230</f>
        <v>0</v>
      </c>
      <c r="N229" s="73">
        <f>N230</f>
        <v>6803766.67</v>
      </c>
      <c r="O229" s="72">
        <f>O230</f>
        <v>6803766.67</v>
      </c>
      <c r="P229" s="73">
        <f>P230</f>
        <v>6803766.67</v>
      </c>
    </row>
    <row r="230" spans="1:16" ht="25.5">
      <c r="A230" s="389" t="s">
        <v>75</v>
      </c>
      <c r="B230" s="381" t="s">
        <v>135</v>
      </c>
      <c r="C230" s="382" t="s">
        <v>94</v>
      </c>
      <c r="D230" s="198" t="s">
        <v>147</v>
      </c>
      <c r="E230" s="124" t="s">
        <v>12</v>
      </c>
      <c r="F230" s="126" t="s">
        <v>168</v>
      </c>
      <c r="G230" s="126" t="s">
        <v>168</v>
      </c>
      <c r="H230" s="126" t="s">
        <v>168</v>
      </c>
      <c r="I230" s="126" t="s">
        <v>21</v>
      </c>
      <c r="J230" s="128" t="s">
        <v>168</v>
      </c>
      <c r="K230" s="390">
        <v>240</v>
      </c>
      <c r="L230" s="154">
        <f>6026036.46-31600</f>
        <v>5994436.46</v>
      </c>
      <c r="M230" s="72">
        <v>0</v>
      </c>
      <c r="N230" s="73">
        <v>6803766.67</v>
      </c>
      <c r="O230" s="72">
        <v>6803766.67</v>
      </c>
      <c r="P230" s="73">
        <v>6803766.67</v>
      </c>
    </row>
    <row r="231" spans="1:16" ht="12.75">
      <c r="A231" s="389" t="s">
        <v>83</v>
      </c>
      <c r="B231" s="381" t="s">
        <v>135</v>
      </c>
      <c r="C231" s="382" t="s">
        <v>94</v>
      </c>
      <c r="D231" s="198" t="s">
        <v>147</v>
      </c>
      <c r="E231" s="124" t="s">
        <v>12</v>
      </c>
      <c r="F231" s="126" t="s">
        <v>168</v>
      </c>
      <c r="G231" s="126" t="s">
        <v>168</v>
      </c>
      <c r="H231" s="126" t="s">
        <v>168</v>
      </c>
      <c r="I231" s="126" t="s">
        <v>21</v>
      </c>
      <c r="J231" s="128" t="s">
        <v>168</v>
      </c>
      <c r="K231" s="390">
        <v>800</v>
      </c>
      <c r="L231" s="154">
        <f>L232</f>
        <v>160064</v>
      </c>
      <c r="M231" s="72">
        <f>M232</f>
        <v>0</v>
      </c>
      <c r="N231" s="73">
        <f>N232</f>
        <v>152711</v>
      </c>
      <c r="O231" s="72">
        <f>O232</f>
        <v>152711</v>
      </c>
      <c r="P231" s="73">
        <f>P232</f>
        <v>152711</v>
      </c>
    </row>
    <row r="232" spans="1:16" ht="12.75">
      <c r="A232" s="389" t="s">
        <v>85</v>
      </c>
      <c r="B232" s="381" t="s">
        <v>135</v>
      </c>
      <c r="C232" s="382" t="s">
        <v>94</v>
      </c>
      <c r="D232" s="198" t="s">
        <v>147</v>
      </c>
      <c r="E232" s="124" t="s">
        <v>12</v>
      </c>
      <c r="F232" s="126" t="s">
        <v>168</v>
      </c>
      <c r="G232" s="126" t="s">
        <v>168</v>
      </c>
      <c r="H232" s="126" t="s">
        <v>168</v>
      </c>
      <c r="I232" s="126" t="s">
        <v>21</v>
      </c>
      <c r="J232" s="128" t="s">
        <v>168</v>
      </c>
      <c r="K232" s="390">
        <v>850</v>
      </c>
      <c r="L232" s="154">
        <v>160064</v>
      </c>
      <c r="M232" s="72">
        <v>0</v>
      </c>
      <c r="N232" s="73">
        <v>152711</v>
      </c>
      <c r="O232" s="72">
        <v>152711</v>
      </c>
      <c r="P232" s="73">
        <v>152711</v>
      </c>
    </row>
    <row r="233" spans="1:16" ht="25.5" customHeight="1" hidden="1">
      <c r="A233" s="401" t="s">
        <v>258</v>
      </c>
      <c r="B233" s="381" t="s">
        <v>135</v>
      </c>
      <c r="C233" s="382" t="s">
        <v>94</v>
      </c>
      <c r="D233" s="183" t="s">
        <v>147</v>
      </c>
      <c r="E233" s="124" t="s">
        <v>12</v>
      </c>
      <c r="F233" s="126" t="s">
        <v>168</v>
      </c>
      <c r="G233" s="126" t="s">
        <v>168</v>
      </c>
      <c r="H233" s="126" t="s">
        <v>168</v>
      </c>
      <c r="I233" s="159" t="s">
        <v>257</v>
      </c>
      <c r="J233" s="128" t="s">
        <v>168</v>
      </c>
      <c r="K233" s="425"/>
      <c r="L233" s="154">
        <f aca="true" t="shared" si="51" ref="L233:P234">L234</f>
        <v>0</v>
      </c>
      <c r="M233" s="72">
        <f t="shared" si="51"/>
        <v>0</v>
      </c>
      <c r="N233" s="73">
        <f t="shared" si="51"/>
        <v>0</v>
      </c>
      <c r="O233" s="72">
        <f t="shared" si="51"/>
        <v>0</v>
      </c>
      <c r="P233" s="73">
        <f t="shared" si="51"/>
        <v>0</v>
      </c>
    </row>
    <row r="234" spans="1:16" ht="12.75" customHeight="1" hidden="1">
      <c r="A234" s="389" t="s">
        <v>83</v>
      </c>
      <c r="B234" s="381" t="s">
        <v>135</v>
      </c>
      <c r="C234" s="382" t="s">
        <v>94</v>
      </c>
      <c r="D234" s="183" t="s">
        <v>147</v>
      </c>
      <c r="E234" s="124" t="s">
        <v>12</v>
      </c>
      <c r="F234" s="126" t="s">
        <v>168</v>
      </c>
      <c r="G234" s="126" t="s">
        <v>168</v>
      </c>
      <c r="H234" s="126" t="s">
        <v>168</v>
      </c>
      <c r="I234" s="126" t="s">
        <v>257</v>
      </c>
      <c r="J234" s="128" t="s">
        <v>168</v>
      </c>
      <c r="K234" s="390" t="s">
        <v>84</v>
      </c>
      <c r="L234" s="154">
        <f t="shared" si="51"/>
        <v>0</v>
      </c>
      <c r="M234" s="72">
        <f t="shared" si="51"/>
        <v>0</v>
      </c>
      <c r="N234" s="73">
        <f t="shared" si="51"/>
        <v>0</v>
      </c>
      <c r="O234" s="72">
        <f t="shared" si="51"/>
        <v>0</v>
      </c>
      <c r="P234" s="73">
        <f t="shared" si="51"/>
        <v>0</v>
      </c>
    </row>
    <row r="235" spans="1:16" ht="12.75" customHeight="1" hidden="1">
      <c r="A235" s="389" t="s">
        <v>215</v>
      </c>
      <c r="B235" s="381" t="s">
        <v>135</v>
      </c>
      <c r="C235" s="382" t="s">
        <v>94</v>
      </c>
      <c r="D235" s="183" t="s">
        <v>147</v>
      </c>
      <c r="E235" s="124" t="s">
        <v>12</v>
      </c>
      <c r="F235" s="126" t="s">
        <v>168</v>
      </c>
      <c r="G235" s="126" t="s">
        <v>168</v>
      </c>
      <c r="H235" s="126" t="s">
        <v>168</v>
      </c>
      <c r="I235" s="126" t="s">
        <v>257</v>
      </c>
      <c r="J235" s="128" t="s">
        <v>168</v>
      </c>
      <c r="K235" s="390" t="s">
        <v>214</v>
      </c>
      <c r="L235" s="154">
        <v>0</v>
      </c>
      <c r="M235" s="72">
        <v>0</v>
      </c>
      <c r="N235" s="73">
        <v>0</v>
      </c>
      <c r="O235" s="72">
        <v>0</v>
      </c>
      <c r="P235" s="73">
        <v>0</v>
      </c>
    </row>
    <row r="236" spans="1:16" ht="25.5">
      <c r="A236" s="380" t="s">
        <v>67</v>
      </c>
      <c r="B236" s="381" t="s">
        <v>135</v>
      </c>
      <c r="C236" s="382" t="s">
        <v>94</v>
      </c>
      <c r="D236" s="198" t="s">
        <v>147</v>
      </c>
      <c r="E236" s="124" t="s">
        <v>12</v>
      </c>
      <c r="F236" s="126" t="s">
        <v>168</v>
      </c>
      <c r="G236" s="126" t="s">
        <v>168</v>
      </c>
      <c r="H236" s="126" t="s">
        <v>168</v>
      </c>
      <c r="I236" s="126" t="s">
        <v>24</v>
      </c>
      <c r="J236" s="128" t="s">
        <v>168</v>
      </c>
      <c r="K236" s="390"/>
      <c r="L236" s="154">
        <f>L239+L243+L237+L241</f>
        <v>742186</v>
      </c>
      <c r="M236" s="72">
        <f>M239+M243+M237+M241</f>
        <v>0</v>
      </c>
      <c r="N236" s="73">
        <f>N239+N243+N237+N241</f>
        <v>4884574.06</v>
      </c>
      <c r="O236" s="72">
        <f>O239+O243+O237+O241</f>
        <v>4733201.87</v>
      </c>
      <c r="P236" s="73">
        <f>P239+P243+P237+P241</f>
        <v>544224.4</v>
      </c>
    </row>
    <row r="237" spans="1:16" ht="51">
      <c r="A237" s="389" t="s">
        <v>92</v>
      </c>
      <c r="B237" s="381" t="s">
        <v>135</v>
      </c>
      <c r="C237" s="382" t="s">
        <v>94</v>
      </c>
      <c r="D237" s="198" t="s">
        <v>147</v>
      </c>
      <c r="E237" s="124" t="s">
        <v>12</v>
      </c>
      <c r="F237" s="126" t="s">
        <v>168</v>
      </c>
      <c r="G237" s="126" t="s">
        <v>168</v>
      </c>
      <c r="H237" s="126" t="s">
        <v>168</v>
      </c>
      <c r="I237" s="126" t="s">
        <v>24</v>
      </c>
      <c r="J237" s="128" t="s">
        <v>168</v>
      </c>
      <c r="K237" s="390" t="s">
        <v>81</v>
      </c>
      <c r="L237" s="154">
        <f>L238</f>
        <v>24000</v>
      </c>
      <c r="M237" s="72">
        <f>M238</f>
        <v>0</v>
      </c>
      <c r="N237" s="73">
        <f>N238</f>
        <v>24000</v>
      </c>
      <c r="O237" s="72">
        <f>O238</f>
        <v>24000</v>
      </c>
      <c r="P237" s="73">
        <f>P238</f>
        <v>24000</v>
      </c>
    </row>
    <row r="238" spans="1:16" ht="25.5">
      <c r="A238" s="389" t="s">
        <v>82</v>
      </c>
      <c r="B238" s="381" t="s">
        <v>135</v>
      </c>
      <c r="C238" s="382" t="s">
        <v>94</v>
      </c>
      <c r="D238" s="198" t="s">
        <v>147</v>
      </c>
      <c r="E238" s="124" t="s">
        <v>12</v>
      </c>
      <c r="F238" s="126" t="s">
        <v>168</v>
      </c>
      <c r="G238" s="126" t="s">
        <v>168</v>
      </c>
      <c r="H238" s="126" t="s">
        <v>168</v>
      </c>
      <c r="I238" s="126" t="s">
        <v>24</v>
      </c>
      <c r="J238" s="128" t="s">
        <v>168</v>
      </c>
      <c r="K238" s="390" t="s">
        <v>212</v>
      </c>
      <c r="L238" s="154">
        <v>24000</v>
      </c>
      <c r="M238" s="72">
        <v>0</v>
      </c>
      <c r="N238" s="73">
        <v>24000</v>
      </c>
      <c r="O238" s="72">
        <v>24000</v>
      </c>
      <c r="P238" s="73">
        <v>24000</v>
      </c>
    </row>
    <row r="239" spans="1:16" ht="25.5">
      <c r="A239" s="389" t="s">
        <v>73</v>
      </c>
      <c r="B239" s="381" t="s">
        <v>135</v>
      </c>
      <c r="C239" s="382" t="s">
        <v>94</v>
      </c>
      <c r="D239" s="198" t="s">
        <v>147</v>
      </c>
      <c r="E239" s="124" t="s">
        <v>12</v>
      </c>
      <c r="F239" s="126" t="s">
        <v>168</v>
      </c>
      <c r="G239" s="126" t="s">
        <v>168</v>
      </c>
      <c r="H239" s="126" t="s">
        <v>168</v>
      </c>
      <c r="I239" s="126" t="s">
        <v>24</v>
      </c>
      <c r="J239" s="128" t="s">
        <v>168</v>
      </c>
      <c r="K239" s="390">
        <v>200</v>
      </c>
      <c r="L239" s="154">
        <f>L240</f>
        <v>623186</v>
      </c>
      <c r="M239" s="72">
        <f>M240</f>
        <v>0</v>
      </c>
      <c r="N239" s="73">
        <f>N240</f>
        <v>570596.6</v>
      </c>
      <c r="O239" s="72">
        <f>O240</f>
        <v>419224.4</v>
      </c>
      <c r="P239" s="73">
        <f>P240</f>
        <v>425224.4</v>
      </c>
    </row>
    <row r="240" spans="1:16" ht="25.5">
      <c r="A240" s="389" t="s">
        <v>75</v>
      </c>
      <c r="B240" s="381" t="s">
        <v>135</v>
      </c>
      <c r="C240" s="382" t="s">
        <v>94</v>
      </c>
      <c r="D240" s="198" t="s">
        <v>147</v>
      </c>
      <c r="E240" s="124" t="s">
        <v>12</v>
      </c>
      <c r="F240" s="126" t="s">
        <v>168</v>
      </c>
      <c r="G240" s="126" t="s">
        <v>168</v>
      </c>
      <c r="H240" s="126" t="s">
        <v>168</v>
      </c>
      <c r="I240" s="126" t="s">
        <v>24</v>
      </c>
      <c r="J240" s="128" t="s">
        <v>168</v>
      </c>
      <c r="K240" s="390">
        <v>240</v>
      </c>
      <c r="L240" s="154">
        <v>623186</v>
      </c>
      <c r="M240" s="72">
        <v>0</v>
      </c>
      <c r="N240" s="73">
        <v>570596.6</v>
      </c>
      <c r="O240" s="72">
        <v>419224.4</v>
      </c>
      <c r="P240" s="73">
        <v>425224.4</v>
      </c>
    </row>
    <row r="241" spans="1:16" ht="25.5">
      <c r="A241" s="450" t="s">
        <v>188</v>
      </c>
      <c r="B241" s="381" t="s">
        <v>135</v>
      </c>
      <c r="C241" s="382" t="s">
        <v>94</v>
      </c>
      <c r="D241" s="198" t="s">
        <v>147</v>
      </c>
      <c r="E241" s="124" t="s">
        <v>12</v>
      </c>
      <c r="F241" s="126" t="s">
        <v>168</v>
      </c>
      <c r="G241" s="126" t="s">
        <v>168</v>
      </c>
      <c r="H241" s="126" t="s">
        <v>168</v>
      </c>
      <c r="I241" s="126" t="s">
        <v>24</v>
      </c>
      <c r="J241" s="128" t="s">
        <v>168</v>
      </c>
      <c r="K241" s="390" t="s">
        <v>78</v>
      </c>
      <c r="L241" s="154">
        <f>L242</f>
        <v>60000</v>
      </c>
      <c r="M241" s="72">
        <f>M242</f>
        <v>0</v>
      </c>
      <c r="N241" s="73">
        <f>N242</f>
        <v>60000</v>
      </c>
      <c r="O241" s="72">
        <f>O242</f>
        <v>60000</v>
      </c>
      <c r="P241" s="73">
        <f>P242</f>
        <v>60000</v>
      </c>
    </row>
    <row r="242" spans="1:16" ht="12.75">
      <c r="A242" s="389" t="s">
        <v>189</v>
      </c>
      <c r="B242" s="381" t="s">
        <v>135</v>
      </c>
      <c r="C242" s="382" t="s">
        <v>94</v>
      </c>
      <c r="D242" s="198" t="s">
        <v>147</v>
      </c>
      <c r="E242" s="124" t="s">
        <v>12</v>
      </c>
      <c r="F242" s="126" t="s">
        <v>168</v>
      </c>
      <c r="G242" s="126" t="s">
        <v>168</v>
      </c>
      <c r="H242" s="126" t="s">
        <v>168</v>
      </c>
      <c r="I242" s="126" t="s">
        <v>24</v>
      </c>
      <c r="J242" s="128" t="s">
        <v>168</v>
      </c>
      <c r="K242" s="390" t="s">
        <v>187</v>
      </c>
      <c r="L242" s="154">
        <v>60000</v>
      </c>
      <c r="M242" s="72">
        <v>0</v>
      </c>
      <c r="N242" s="73">
        <v>60000</v>
      </c>
      <c r="O242" s="72">
        <v>60000</v>
      </c>
      <c r="P242" s="73">
        <v>60000</v>
      </c>
    </row>
    <row r="243" spans="1:16" ht="12.75">
      <c r="A243" s="389" t="s">
        <v>83</v>
      </c>
      <c r="B243" s="381" t="s">
        <v>135</v>
      </c>
      <c r="C243" s="382" t="s">
        <v>94</v>
      </c>
      <c r="D243" s="198" t="s">
        <v>147</v>
      </c>
      <c r="E243" s="124" t="s">
        <v>12</v>
      </c>
      <c r="F243" s="126" t="s">
        <v>168</v>
      </c>
      <c r="G243" s="126" t="s">
        <v>168</v>
      </c>
      <c r="H243" s="126" t="s">
        <v>168</v>
      </c>
      <c r="I243" s="126" t="s">
        <v>24</v>
      </c>
      <c r="J243" s="128" t="s">
        <v>168</v>
      </c>
      <c r="K243" s="390" t="s">
        <v>84</v>
      </c>
      <c r="L243" s="154">
        <f>L244</f>
        <v>35000</v>
      </c>
      <c r="M243" s="72">
        <f>M244</f>
        <v>0</v>
      </c>
      <c r="N243" s="73">
        <f>N244</f>
        <v>4229977.46</v>
      </c>
      <c r="O243" s="72">
        <f>O244</f>
        <v>4229977.47</v>
      </c>
      <c r="P243" s="73">
        <f>P244</f>
        <v>35000</v>
      </c>
    </row>
    <row r="244" spans="1:16" ht="12.75">
      <c r="A244" s="389" t="s">
        <v>85</v>
      </c>
      <c r="B244" s="381" t="s">
        <v>135</v>
      </c>
      <c r="C244" s="382" t="s">
        <v>94</v>
      </c>
      <c r="D244" s="198" t="s">
        <v>147</v>
      </c>
      <c r="E244" s="124" t="s">
        <v>12</v>
      </c>
      <c r="F244" s="126" t="s">
        <v>168</v>
      </c>
      <c r="G244" s="126" t="s">
        <v>168</v>
      </c>
      <c r="H244" s="126" t="s">
        <v>168</v>
      </c>
      <c r="I244" s="126" t="s">
        <v>24</v>
      </c>
      <c r="J244" s="128" t="s">
        <v>168</v>
      </c>
      <c r="K244" s="390" t="s">
        <v>86</v>
      </c>
      <c r="L244" s="154">
        <v>35000</v>
      </c>
      <c r="M244" s="72">
        <v>0</v>
      </c>
      <c r="N244" s="73">
        <f>35000+4194977.46</f>
        <v>4229977.46</v>
      </c>
      <c r="O244" s="72">
        <f>35000+4194977.47</f>
        <v>4229977.47</v>
      </c>
      <c r="P244" s="73">
        <v>35000</v>
      </c>
    </row>
    <row r="245" spans="1:16" ht="12.75">
      <c r="A245" s="401" t="s">
        <v>243</v>
      </c>
      <c r="B245" s="381" t="s">
        <v>135</v>
      </c>
      <c r="C245" s="382" t="s">
        <v>94</v>
      </c>
      <c r="D245" s="198" t="s">
        <v>147</v>
      </c>
      <c r="E245" s="124" t="s">
        <v>12</v>
      </c>
      <c r="F245" s="126" t="s">
        <v>168</v>
      </c>
      <c r="G245" s="126" t="s">
        <v>168</v>
      </c>
      <c r="H245" s="126" t="s">
        <v>168</v>
      </c>
      <c r="I245" s="126" t="s">
        <v>242</v>
      </c>
      <c r="J245" s="128" t="s">
        <v>168</v>
      </c>
      <c r="K245" s="390"/>
      <c r="L245" s="154"/>
      <c r="M245" s="72"/>
      <c r="N245" s="73">
        <f aca="true" t="shared" si="52" ref="N245:P246">N246</f>
        <v>40870</v>
      </c>
      <c r="O245" s="72">
        <f t="shared" si="52"/>
        <v>40870</v>
      </c>
      <c r="P245" s="73">
        <f t="shared" si="52"/>
        <v>40870</v>
      </c>
    </row>
    <row r="246" spans="1:16" ht="12.75">
      <c r="A246" s="389" t="s">
        <v>83</v>
      </c>
      <c r="B246" s="381" t="s">
        <v>135</v>
      </c>
      <c r="C246" s="382" t="s">
        <v>94</v>
      </c>
      <c r="D246" s="198" t="s">
        <v>147</v>
      </c>
      <c r="E246" s="124" t="s">
        <v>12</v>
      </c>
      <c r="F246" s="126" t="s">
        <v>168</v>
      </c>
      <c r="G246" s="126" t="s">
        <v>168</v>
      </c>
      <c r="H246" s="126" t="s">
        <v>168</v>
      </c>
      <c r="I246" s="126" t="s">
        <v>242</v>
      </c>
      <c r="J246" s="128" t="s">
        <v>168</v>
      </c>
      <c r="K246" s="390" t="s">
        <v>84</v>
      </c>
      <c r="L246" s="154"/>
      <c r="M246" s="72"/>
      <c r="N246" s="73">
        <f t="shared" si="52"/>
        <v>40870</v>
      </c>
      <c r="O246" s="72">
        <f t="shared" si="52"/>
        <v>40870</v>
      </c>
      <c r="P246" s="73">
        <f t="shared" si="52"/>
        <v>40870</v>
      </c>
    </row>
    <row r="247" spans="1:16" ht="12.75">
      <c r="A247" s="389" t="s">
        <v>85</v>
      </c>
      <c r="B247" s="381" t="s">
        <v>135</v>
      </c>
      <c r="C247" s="382" t="s">
        <v>94</v>
      </c>
      <c r="D247" s="198" t="s">
        <v>147</v>
      </c>
      <c r="E247" s="124" t="s">
        <v>12</v>
      </c>
      <c r="F247" s="126" t="s">
        <v>168</v>
      </c>
      <c r="G247" s="126" t="s">
        <v>168</v>
      </c>
      <c r="H247" s="126" t="s">
        <v>168</v>
      </c>
      <c r="I247" s="126" t="s">
        <v>242</v>
      </c>
      <c r="J247" s="128" t="s">
        <v>168</v>
      </c>
      <c r="K247" s="390" t="s">
        <v>86</v>
      </c>
      <c r="L247" s="154"/>
      <c r="M247" s="72"/>
      <c r="N247" s="73">
        <v>40870</v>
      </c>
      <c r="O247" s="72">
        <v>40870</v>
      </c>
      <c r="P247" s="73">
        <v>40870</v>
      </c>
    </row>
    <row r="248" spans="1:16" ht="12.75">
      <c r="A248" s="380" t="s">
        <v>68</v>
      </c>
      <c r="B248" s="381" t="s">
        <v>135</v>
      </c>
      <c r="C248" s="382" t="s">
        <v>94</v>
      </c>
      <c r="D248" s="198" t="s">
        <v>147</v>
      </c>
      <c r="E248" s="124" t="s">
        <v>12</v>
      </c>
      <c r="F248" s="126" t="s">
        <v>168</v>
      </c>
      <c r="G248" s="126" t="s">
        <v>168</v>
      </c>
      <c r="H248" s="126" t="s">
        <v>168</v>
      </c>
      <c r="I248" s="126" t="s">
        <v>13</v>
      </c>
      <c r="J248" s="128" t="s">
        <v>168</v>
      </c>
      <c r="K248" s="390"/>
      <c r="L248" s="154">
        <f aca="true" t="shared" si="53" ref="L248:P249">L249</f>
        <v>180000</v>
      </c>
      <c r="M248" s="72">
        <f t="shared" si="53"/>
        <v>0</v>
      </c>
      <c r="N248" s="73">
        <f t="shared" si="53"/>
        <v>180000</v>
      </c>
      <c r="O248" s="72">
        <f t="shared" si="53"/>
        <v>260000</v>
      </c>
      <c r="P248" s="73">
        <f t="shared" si="53"/>
        <v>260000</v>
      </c>
    </row>
    <row r="249" spans="1:16" ht="25.5">
      <c r="A249" s="389" t="s">
        <v>73</v>
      </c>
      <c r="B249" s="381" t="s">
        <v>135</v>
      </c>
      <c r="C249" s="382" t="s">
        <v>94</v>
      </c>
      <c r="D249" s="198" t="s">
        <v>147</v>
      </c>
      <c r="E249" s="124" t="s">
        <v>12</v>
      </c>
      <c r="F249" s="126" t="s">
        <v>168</v>
      </c>
      <c r="G249" s="126" t="s">
        <v>168</v>
      </c>
      <c r="H249" s="126" t="s">
        <v>168</v>
      </c>
      <c r="I249" s="126" t="s">
        <v>13</v>
      </c>
      <c r="J249" s="128" t="s">
        <v>168</v>
      </c>
      <c r="K249" s="390">
        <v>200</v>
      </c>
      <c r="L249" s="154">
        <f t="shared" si="53"/>
        <v>180000</v>
      </c>
      <c r="M249" s="72">
        <f t="shared" si="53"/>
        <v>0</v>
      </c>
      <c r="N249" s="73">
        <f t="shared" si="53"/>
        <v>180000</v>
      </c>
      <c r="O249" s="72">
        <f t="shared" si="53"/>
        <v>260000</v>
      </c>
      <c r="P249" s="73">
        <f t="shared" si="53"/>
        <v>260000</v>
      </c>
    </row>
    <row r="250" spans="1:16" ht="25.5">
      <c r="A250" s="389" t="s">
        <v>75</v>
      </c>
      <c r="B250" s="381" t="s">
        <v>135</v>
      </c>
      <c r="C250" s="382" t="s">
        <v>94</v>
      </c>
      <c r="D250" s="198" t="s">
        <v>147</v>
      </c>
      <c r="E250" s="124" t="s">
        <v>12</v>
      </c>
      <c r="F250" s="126" t="s">
        <v>168</v>
      </c>
      <c r="G250" s="126" t="s">
        <v>168</v>
      </c>
      <c r="H250" s="126" t="s">
        <v>168</v>
      </c>
      <c r="I250" s="126" t="s">
        <v>13</v>
      </c>
      <c r="J250" s="128" t="s">
        <v>168</v>
      </c>
      <c r="K250" s="390">
        <v>240</v>
      </c>
      <c r="L250" s="154">
        <v>180000</v>
      </c>
      <c r="M250" s="72">
        <v>0</v>
      </c>
      <c r="N250" s="73">
        <v>180000</v>
      </c>
      <c r="O250" s="72">
        <v>260000</v>
      </c>
      <c r="P250" s="73">
        <v>260000</v>
      </c>
    </row>
    <row r="251" spans="1:16" ht="12.75">
      <c r="A251" s="380" t="s">
        <v>110</v>
      </c>
      <c r="B251" s="381" t="s">
        <v>135</v>
      </c>
      <c r="C251" s="382" t="s">
        <v>97</v>
      </c>
      <c r="D251" s="198"/>
      <c r="E251" s="124"/>
      <c r="F251" s="126"/>
      <c r="G251" s="126"/>
      <c r="H251" s="126"/>
      <c r="I251" s="126"/>
      <c r="J251" s="128"/>
      <c r="K251" s="390"/>
      <c r="L251" s="154">
        <f aca="true" t="shared" si="54" ref="L251:N253">L252</f>
        <v>1524300</v>
      </c>
      <c r="M251" s="72">
        <f t="shared" si="54"/>
        <v>0</v>
      </c>
      <c r="N251" s="73">
        <f t="shared" si="54"/>
        <v>1000500</v>
      </c>
      <c r="O251" s="72">
        <f aca="true" t="shared" si="55" ref="O251:P253">O252</f>
        <v>1974600</v>
      </c>
      <c r="P251" s="73">
        <f t="shared" si="55"/>
        <v>1652400</v>
      </c>
    </row>
    <row r="252" spans="1:16" ht="25.5">
      <c r="A252" s="380" t="s">
        <v>291</v>
      </c>
      <c r="B252" s="381" t="s">
        <v>135</v>
      </c>
      <c r="C252" s="396" t="s">
        <v>97</v>
      </c>
      <c r="D252" s="159" t="s">
        <v>113</v>
      </c>
      <c r="E252" s="124"/>
      <c r="F252" s="126"/>
      <c r="G252" s="126"/>
      <c r="H252" s="126"/>
      <c r="I252" s="126"/>
      <c r="J252" s="128"/>
      <c r="K252" s="390"/>
      <c r="L252" s="154">
        <f t="shared" si="54"/>
        <v>1524300</v>
      </c>
      <c r="M252" s="72">
        <f t="shared" si="54"/>
        <v>0</v>
      </c>
      <c r="N252" s="73">
        <f>N253</f>
        <v>1000500</v>
      </c>
      <c r="O252" s="72">
        <f t="shared" si="55"/>
        <v>1974600</v>
      </c>
      <c r="P252" s="73">
        <f t="shared" si="55"/>
        <v>1652400</v>
      </c>
    </row>
    <row r="253" spans="1:16" ht="60.75" customHeight="1">
      <c r="A253" s="389" t="s">
        <v>325</v>
      </c>
      <c r="B253" s="381" t="s">
        <v>135</v>
      </c>
      <c r="C253" s="396" t="s">
        <v>97</v>
      </c>
      <c r="D253" s="159" t="s">
        <v>113</v>
      </c>
      <c r="E253" s="124" t="s">
        <v>328</v>
      </c>
      <c r="F253" s="126" t="s">
        <v>168</v>
      </c>
      <c r="G253" s="126" t="s">
        <v>168</v>
      </c>
      <c r="H253" s="126" t="s">
        <v>168</v>
      </c>
      <c r="I253" s="126" t="s">
        <v>169</v>
      </c>
      <c r="J253" s="128" t="s">
        <v>168</v>
      </c>
      <c r="K253" s="390"/>
      <c r="L253" s="154">
        <f t="shared" si="54"/>
        <v>1524300</v>
      </c>
      <c r="M253" s="72">
        <f t="shared" si="54"/>
        <v>0</v>
      </c>
      <c r="N253" s="73">
        <f t="shared" si="54"/>
        <v>1000500</v>
      </c>
      <c r="O253" s="72">
        <f t="shared" si="55"/>
        <v>1974600</v>
      </c>
      <c r="P253" s="73">
        <f t="shared" si="55"/>
        <v>1652400</v>
      </c>
    </row>
    <row r="254" spans="1:16" ht="25.5">
      <c r="A254" s="389" t="s">
        <v>332</v>
      </c>
      <c r="B254" s="381" t="s">
        <v>135</v>
      </c>
      <c r="C254" s="396" t="s">
        <v>97</v>
      </c>
      <c r="D254" s="159" t="s">
        <v>113</v>
      </c>
      <c r="E254" s="124" t="s">
        <v>328</v>
      </c>
      <c r="F254" s="126" t="s">
        <v>168</v>
      </c>
      <c r="G254" s="126" t="s">
        <v>168</v>
      </c>
      <c r="H254" s="126" t="s">
        <v>168</v>
      </c>
      <c r="I254" s="126" t="s">
        <v>245</v>
      </c>
      <c r="J254" s="128" t="s">
        <v>168</v>
      </c>
      <c r="K254" s="390"/>
      <c r="L254" s="154">
        <f>L257+L255</f>
        <v>1524300</v>
      </c>
      <c r="M254" s="72">
        <f>M257+M255</f>
        <v>0</v>
      </c>
      <c r="N254" s="73">
        <f>N257+N255</f>
        <v>1000500</v>
      </c>
      <c r="O254" s="72">
        <f>O257+O255</f>
        <v>1974600</v>
      </c>
      <c r="P254" s="73">
        <f>P257+P255</f>
        <v>1652400</v>
      </c>
    </row>
    <row r="255" spans="1:16" ht="25.5">
      <c r="A255" s="389" t="s">
        <v>73</v>
      </c>
      <c r="B255" s="381" t="s">
        <v>135</v>
      </c>
      <c r="C255" s="396" t="s">
        <v>97</v>
      </c>
      <c r="D255" s="159" t="s">
        <v>113</v>
      </c>
      <c r="E255" s="124" t="s">
        <v>328</v>
      </c>
      <c r="F255" s="126" t="s">
        <v>168</v>
      </c>
      <c r="G255" s="126" t="s">
        <v>168</v>
      </c>
      <c r="H255" s="126" t="s">
        <v>168</v>
      </c>
      <c r="I255" s="126" t="s">
        <v>245</v>
      </c>
      <c r="J255" s="128" t="s">
        <v>168</v>
      </c>
      <c r="K255" s="390" t="s">
        <v>74</v>
      </c>
      <c r="L255" s="451">
        <f>L256</f>
        <v>24300</v>
      </c>
      <c r="M255" s="452">
        <f>M256</f>
        <v>0</v>
      </c>
      <c r="N255" s="73">
        <f>N256</f>
        <v>500500</v>
      </c>
      <c r="O255" s="72">
        <f>O256</f>
        <v>474600</v>
      </c>
      <c r="P255" s="73">
        <f>P256</f>
        <v>152400</v>
      </c>
    </row>
    <row r="256" spans="1:16" ht="25.5">
      <c r="A256" s="389" t="s">
        <v>75</v>
      </c>
      <c r="B256" s="381" t="s">
        <v>135</v>
      </c>
      <c r="C256" s="396" t="s">
        <v>97</v>
      </c>
      <c r="D256" s="159" t="s">
        <v>113</v>
      </c>
      <c r="E256" s="124" t="s">
        <v>328</v>
      </c>
      <c r="F256" s="126" t="s">
        <v>168</v>
      </c>
      <c r="G256" s="126" t="s">
        <v>168</v>
      </c>
      <c r="H256" s="126" t="s">
        <v>168</v>
      </c>
      <c r="I256" s="126" t="s">
        <v>245</v>
      </c>
      <c r="J256" s="128" t="s">
        <v>168</v>
      </c>
      <c r="K256" s="390" t="s">
        <v>76</v>
      </c>
      <c r="L256" s="453">
        <v>24300</v>
      </c>
      <c r="M256" s="454">
        <v>0</v>
      </c>
      <c r="N256" s="448">
        <v>500500</v>
      </c>
      <c r="O256" s="447">
        <v>474600</v>
      </c>
      <c r="P256" s="448">
        <v>152400</v>
      </c>
    </row>
    <row r="257" spans="1:16" ht="12.75">
      <c r="A257" s="389" t="s">
        <v>127</v>
      </c>
      <c r="B257" s="381" t="s">
        <v>135</v>
      </c>
      <c r="C257" s="396" t="s">
        <v>97</v>
      </c>
      <c r="D257" s="159" t="s">
        <v>113</v>
      </c>
      <c r="E257" s="124" t="s">
        <v>328</v>
      </c>
      <c r="F257" s="126" t="s">
        <v>168</v>
      </c>
      <c r="G257" s="126" t="s">
        <v>168</v>
      </c>
      <c r="H257" s="126" t="s">
        <v>168</v>
      </c>
      <c r="I257" s="126" t="s">
        <v>245</v>
      </c>
      <c r="J257" s="128" t="s">
        <v>168</v>
      </c>
      <c r="K257" s="390" t="s">
        <v>140</v>
      </c>
      <c r="L257" s="154">
        <f>L258</f>
        <v>1500000</v>
      </c>
      <c r="M257" s="72">
        <f>M258</f>
        <v>0</v>
      </c>
      <c r="N257" s="73">
        <f>N258</f>
        <v>500000</v>
      </c>
      <c r="O257" s="72">
        <f>O258</f>
        <v>1500000</v>
      </c>
      <c r="P257" s="73">
        <f>P258</f>
        <v>1500000</v>
      </c>
    </row>
    <row r="258" spans="1:16" ht="12.75">
      <c r="A258" s="401" t="s">
        <v>141</v>
      </c>
      <c r="B258" s="381" t="s">
        <v>135</v>
      </c>
      <c r="C258" s="396" t="s">
        <v>97</v>
      </c>
      <c r="D258" s="159" t="s">
        <v>113</v>
      </c>
      <c r="E258" s="124" t="s">
        <v>328</v>
      </c>
      <c r="F258" s="126" t="s">
        <v>168</v>
      </c>
      <c r="G258" s="126" t="s">
        <v>168</v>
      </c>
      <c r="H258" s="126" t="s">
        <v>168</v>
      </c>
      <c r="I258" s="126" t="s">
        <v>245</v>
      </c>
      <c r="J258" s="128" t="s">
        <v>168</v>
      </c>
      <c r="K258" s="390" t="s">
        <v>175</v>
      </c>
      <c r="L258" s="154">
        <v>1500000</v>
      </c>
      <c r="M258" s="72">
        <v>0</v>
      </c>
      <c r="N258" s="73">
        <v>500000</v>
      </c>
      <c r="O258" s="72">
        <v>1500000</v>
      </c>
      <c r="P258" s="73">
        <v>1500000</v>
      </c>
    </row>
    <row r="259" spans="1:16" ht="12.75">
      <c r="A259" s="380" t="s">
        <v>112</v>
      </c>
      <c r="B259" s="381" t="s">
        <v>135</v>
      </c>
      <c r="C259" s="382" t="s">
        <v>96</v>
      </c>
      <c r="D259" s="198"/>
      <c r="E259" s="198"/>
      <c r="F259" s="199"/>
      <c r="G259" s="126"/>
      <c r="H259" s="126"/>
      <c r="I259" s="199"/>
      <c r="J259" s="128"/>
      <c r="K259" s="393"/>
      <c r="L259" s="421" t="e">
        <f>L260+L278+L295+L267</f>
        <v>#REF!</v>
      </c>
      <c r="M259" s="422" t="e">
        <f>M260+M278+M295+M267</f>
        <v>#REF!</v>
      </c>
      <c r="N259" s="423">
        <f>N260+N278+N295+N267</f>
        <v>77319293.73</v>
      </c>
      <c r="O259" s="422">
        <f>O260+O278+O295+O267</f>
        <v>47144279.16</v>
      </c>
      <c r="P259" s="423">
        <f>P260+P278+P295+P267</f>
        <v>47192343.38</v>
      </c>
    </row>
    <row r="260" spans="1:16" ht="12.75">
      <c r="A260" s="380" t="s">
        <v>50</v>
      </c>
      <c r="B260" s="381" t="s">
        <v>135</v>
      </c>
      <c r="C260" s="382" t="s">
        <v>96</v>
      </c>
      <c r="D260" s="198" t="s">
        <v>98</v>
      </c>
      <c r="E260" s="198"/>
      <c r="F260" s="199"/>
      <c r="G260" s="126"/>
      <c r="H260" s="126"/>
      <c r="I260" s="199"/>
      <c r="J260" s="128"/>
      <c r="K260" s="393"/>
      <c r="L260" s="421">
        <f aca="true" t="shared" si="56" ref="L260:P261">L261</f>
        <v>1584000</v>
      </c>
      <c r="M260" s="422">
        <f t="shared" si="56"/>
        <v>0</v>
      </c>
      <c r="N260" s="423">
        <f t="shared" si="56"/>
        <v>1217000</v>
      </c>
      <c r="O260" s="422">
        <f t="shared" si="56"/>
        <v>1096000</v>
      </c>
      <c r="P260" s="423">
        <f t="shared" si="56"/>
        <v>0</v>
      </c>
    </row>
    <row r="261" spans="1:16" ht="38.25">
      <c r="A261" s="389" t="s">
        <v>324</v>
      </c>
      <c r="B261" s="381" t="s">
        <v>135</v>
      </c>
      <c r="C261" s="382" t="s">
        <v>96</v>
      </c>
      <c r="D261" s="198" t="s">
        <v>98</v>
      </c>
      <c r="E261" s="124" t="s">
        <v>113</v>
      </c>
      <c r="F261" s="126" t="s">
        <v>168</v>
      </c>
      <c r="G261" s="126" t="s">
        <v>168</v>
      </c>
      <c r="H261" s="126" t="s">
        <v>168</v>
      </c>
      <c r="I261" s="126" t="s">
        <v>169</v>
      </c>
      <c r="J261" s="128" t="s">
        <v>168</v>
      </c>
      <c r="K261" s="390"/>
      <c r="L261" s="154">
        <f t="shared" si="56"/>
        <v>1584000</v>
      </c>
      <c r="M261" s="72">
        <f t="shared" si="56"/>
        <v>0</v>
      </c>
      <c r="N261" s="73">
        <f t="shared" si="56"/>
        <v>1217000</v>
      </c>
      <c r="O261" s="72">
        <f t="shared" si="56"/>
        <v>1096000</v>
      </c>
      <c r="P261" s="73">
        <f t="shared" si="56"/>
        <v>0</v>
      </c>
    </row>
    <row r="262" spans="1:16" ht="12.75">
      <c r="A262" s="389" t="s">
        <v>171</v>
      </c>
      <c r="B262" s="381" t="s">
        <v>135</v>
      </c>
      <c r="C262" s="382" t="s">
        <v>96</v>
      </c>
      <c r="D262" s="198" t="s">
        <v>98</v>
      </c>
      <c r="E262" s="124" t="s">
        <v>113</v>
      </c>
      <c r="F262" s="126" t="s">
        <v>168</v>
      </c>
      <c r="G262" s="126" t="s">
        <v>168</v>
      </c>
      <c r="H262" s="126" t="s">
        <v>168</v>
      </c>
      <c r="I262" s="126" t="s">
        <v>172</v>
      </c>
      <c r="J262" s="128" t="s">
        <v>168</v>
      </c>
      <c r="K262" s="390"/>
      <c r="L262" s="154">
        <f>L265+L263</f>
        <v>1584000</v>
      </c>
      <c r="M262" s="72">
        <f>M265+M263</f>
        <v>0</v>
      </c>
      <c r="N262" s="73">
        <f>N265+N263</f>
        <v>1217000</v>
      </c>
      <c r="O262" s="72">
        <f>O265+O263</f>
        <v>1096000</v>
      </c>
      <c r="P262" s="73">
        <f>P265+P263</f>
        <v>0</v>
      </c>
    </row>
    <row r="263" spans="1:16" ht="25.5">
      <c r="A263" s="389" t="s">
        <v>73</v>
      </c>
      <c r="B263" s="381" t="s">
        <v>135</v>
      </c>
      <c r="C263" s="382" t="s">
        <v>96</v>
      </c>
      <c r="D263" s="198" t="s">
        <v>98</v>
      </c>
      <c r="E263" s="124" t="s">
        <v>113</v>
      </c>
      <c r="F263" s="126" t="s">
        <v>168</v>
      </c>
      <c r="G263" s="126" t="s">
        <v>168</v>
      </c>
      <c r="H263" s="126" t="s">
        <v>168</v>
      </c>
      <c r="I263" s="126" t="s">
        <v>172</v>
      </c>
      <c r="J263" s="128" t="s">
        <v>168</v>
      </c>
      <c r="K263" s="390" t="s">
        <v>74</v>
      </c>
      <c r="L263" s="154">
        <f>L264</f>
        <v>400000</v>
      </c>
      <c r="M263" s="72">
        <f>M264</f>
        <v>0</v>
      </c>
      <c r="N263" s="73">
        <f>N264</f>
        <v>320000</v>
      </c>
      <c r="O263" s="72">
        <f>O264</f>
        <v>0</v>
      </c>
      <c r="P263" s="73">
        <f>P264</f>
        <v>0</v>
      </c>
    </row>
    <row r="264" spans="1:16" ht="25.5">
      <c r="A264" s="389" t="s">
        <v>75</v>
      </c>
      <c r="B264" s="381" t="s">
        <v>135</v>
      </c>
      <c r="C264" s="382" t="s">
        <v>96</v>
      </c>
      <c r="D264" s="198" t="s">
        <v>98</v>
      </c>
      <c r="E264" s="124" t="s">
        <v>113</v>
      </c>
      <c r="F264" s="126" t="s">
        <v>168</v>
      </c>
      <c r="G264" s="126" t="s">
        <v>168</v>
      </c>
      <c r="H264" s="126" t="s">
        <v>168</v>
      </c>
      <c r="I264" s="126" t="s">
        <v>172</v>
      </c>
      <c r="J264" s="128" t="s">
        <v>168</v>
      </c>
      <c r="K264" s="390" t="s">
        <v>76</v>
      </c>
      <c r="L264" s="154">
        <v>400000</v>
      </c>
      <c r="M264" s="72">
        <v>0</v>
      </c>
      <c r="N264" s="73">
        <v>320000</v>
      </c>
      <c r="O264" s="72">
        <v>0</v>
      </c>
      <c r="P264" s="73">
        <v>0</v>
      </c>
    </row>
    <row r="265" spans="1:16" ht="21" customHeight="1">
      <c r="A265" s="389" t="s">
        <v>83</v>
      </c>
      <c r="B265" s="381" t="s">
        <v>135</v>
      </c>
      <c r="C265" s="382" t="s">
        <v>96</v>
      </c>
      <c r="D265" s="198" t="s">
        <v>98</v>
      </c>
      <c r="E265" s="182" t="s">
        <v>113</v>
      </c>
      <c r="F265" s="125" t="s">
        <v>168</v>
      </c>
      <c r="G265" s="126" t="s">
        <v>168</v>
      </c>
      <c r="H265" s="126" t="s">
        <v>168</v>
      </c>
      <c r="I265" s="127" t="s">
        <v>172</v>
      </c>
      <c r="J265" s="128" t="s">
        <v>168</v>
      </c>
      <c r="K265" s="391" t="s">
        <v>84</v>
      </c>
      <c r="L265" s="154">
        <f>L266</f>
        <v>1184000</v>
      </c>
      <c r="M265" s="72">
        <f>M266</f>
        <v>0</v>
      </c>
      <c r="N265" s="73">
        <f>N266</f>
        <v>897000</v>
      </c>
      <c r="O265" s="72">
        <f>O266</f>
        <v>1096000</v>
      </c>
      <c r="P265" s="73">
        <f>P266</f>
        <v>0</v>
      </c>
    </row>
    <row r="266" spans="1:16" ht="38.25">
      <c r="A266" s="389" t="s">
        <v>224</v>
      </c>
      <c r="B266" s="381" t="s">
        <v>135</v>
      </c>
      <c r="C266" s="382" t="s">
        <v>96</v>
      </c>
      <c r="D266" s="198" t="s">
        <v>98</v>
      </c>
      <c r="E266" s="182" t="s">
        <v>113</v>
      </c>
      <c r="F266" s="125" t="s">
        <v>168</v>
      </c>
      <c r="G266" s="126" t="s">
        <v>168</v>
      </c>
      <c r="H266" s="126" t="s">
        <v>168</v>
      </c>
      <c r="I266" s="127" t="s">
        <v>172</v>
      </c>
      <c r="J266" s="128" t="s">
        <v>168</v>
      </c>
      <c r="K266" s="391" t="s">
        <v>173</v>
      </c>
      <c r="L266" s="154">
        <v>1184000</v>
      </c>
      <c r="M266" s="72">
        <v>0</v>
      </c>
      <c r="N266" s="73">
        <v>897000</v>
      </c>
      <c r="O266" s="72">
        <v>1096000</v>
      </c>
      <c r="P266" s="73">
        <v>0</v>
      </c>
    </row>
    <row r="267" spans="1:16" ht="12.75">
      <c r="A267" s="401" t="s">
        <v>219</v>
      </c>
      <c r="B267" s="381" t="s">
        <v>135</v>
      </c>
      <c r="C267" s="382" t="s">
        <v>96</v>
      </c>
      <c r="D267" s="382" t="s">
        <v>100</v>
      </c>
      <c r="E267" s="158"/>
      <c r="F267" s="159"/>
      <c r="G267" s="126"/>
      <c r="H267" s="126"/>
      <c r="I267" s="159"/>
      <c r="J267" s="128"/>
      <c r="K267" s="399"/>
      <c r="L267" s="154" t="e">
        <f>#REF!</f>
        <v>#REF!</v>
      </c>
      <c r="M267" s="72" t="e">
        <f>#REF!</f>
        <v>#REF!</v>
      </c>
      <c r="N267" s="73">
        <f>+N268</f>
        <v>5715630</v>
      </c>
      <c r="O267" s="72">
        <f>+O268</f>
        <v>9973757.51</v>
      </c>
      <c r="P267" s="73">
        <f>+P268</f>
        <v>9973757.51</v>
      </c>
    </row>
    <row r="268" spans="1:16" ht="76.5">
      <c r="A268" s="389" t="s">
        <v>371</v>
      </c>
      <c r="B268" s="381" t="s">
        <v>135</v>
      </c>
      <c r="C268" s="382" t="s">
        <v>96</v>
      </c>
      <c r="D268" s="382" t="s">
        <v>100</v>
      </c>
      <c r="E268" s="158" t="s">
        <v>121</v>
      </c>
      <c r="F268" s="159" t="s">
        <v>168</v>
      </c>
      <c r="G268" s="126" t="s">
        <v>168</v>
      </c>
      <c r="H268" s="126" t="s">
        <v>168</v>
      </c>
      <c r="I268" s="159" t="s">
        <v>169</v>
      </c>
      <c r="J268" s="128" t="s">
        <v>168</v>
      </c>
      <c r="K268" s="399"/>
      <c r="L268" s="154"/>
      <c r="M268" s="72"/>
      <c r="N268" s="73">
        <f>N272</f>
        <v>5715630</v>
      </c>
      <c r="O268" s="72">
        <f>O272</f>
        <v>9973757.51</v>
      </c>
      <c r="P268" s="73">
        <f>P272</f>
        <v>9973757.51</v>
      </c>
    </row>
    <row r="269" spans="1:16" ht="35.25" customHeight="1" hidden="1">
      <c r="A269" s="389" t="s">
        <v>337</v>
      </c>
      <c r="B269" s="381" t="s">
        <v>135</v>
      </c>
      <c r="C269" s="382" t="s">
        <v>96</v>
      </c>
      <c r="D269" s="382" t="s">
        <v>100</v>
      </c>
      <c r="E269" s="158" t="s">
        <v>316</v>
      </c>
      <c r="F269" s="159" t="s">
        <v>168</v>
      </c>
      <c r="G269" s="126" t="s">
        <v>168</v>
      </c>
      <c r="H269" s="126" t="s">
        <v>168</v>
      </c>
      <c r="I269" s="159" t="s">
        <v>336</v>
      </c>
      <c r="J269" s="128" t="s">
        <v>168</v>
      </c>
      <c r="K269" s="399"/>
      <c r="L269" s="154"/>
      <c r="M269" s="72"/>
      <c r="N269" s="73">
        <f aca="true" t="shared" si="57" ref="N269:P270">N270</f>
        <v>0</v>
      </c>
      <c r="O269" s="72">
        <f t="shared" si="57"/>
        <v>0</v>
      </c>
      <c r="P269" s="73">
        <f t="shared" si="57"/>
        <v>0</v>
      </c>
    </row>
    <row r="270" spans="1:16" ht="25.5" hidden="1">
      <c r="A270" s="389" t="s">
        <v>73</v>
      </c>
      <c r="B270" s="381" t="s">
        <v>135</v>
      </c>
      <c r="C270" s="382" t="s">
        <v>96</v>
      </c>
      <c r="D270" s="382" t="s">
        <v>100</v>
      </c>
      <c r="E270" s="158" t="s">
        <v>316</v>
      </c>
      <c r="F270" s="159" t="s">
        <v>168</v>
      </c>
      <c r="G270" s="126" t="s">
        <v>168</v>
      </c>
      <c r="H270" s="126" t="s">
        <v>168</v>
      </c>
      <c r="I270" s="159" t="s">
        <v>336</v>
      </c>
      <c r="J270" s="128" t="s">
        <v>168</v>
      </c>
      <c r="K270" s="399" t="s">
        <v>74</v>
      </c>
      <c r="L270" s="154"/>
      <c r="M270" s="72"/>
      <c r="N270" s="73">
        <f t="shared" si="57"/>
        <v>0</v>
      </c>
      <c r="O270" s="72">
        <f t="shared" si="57"/>
        <v>0</v>
      </c>
      <c r="P270" s="73">
        <f t="shared" si="57"/>
        <v>0</v>
      </c>
    </row>
    <row r="271" spans="1:16" ht="25.5" hidden="1">
      <c r="A271" s="389" t="s">
        <v>75</v>
      </c>
      <c r="B271" s="381" t="s">
        <v>135</v>
      </c>
      <c r="C271" s="382" t="s">
        <v>96</v>
      </c>
      <c r="D271" s="382" t="s">
        <v>100</v>
      </c>
      <c r="E271" s="158" t="s">
        <v>316</v>
      </c>
      <c r="F271" s="159" t="s">
        <v>168</v>
      </c>
      <c r="G271" s="126" t="s">
        <v>168</v>
      </c>
      <c r="H271" s="126" t="s">
        <v>168</v>
      </c>
      <c r="I271" s="159" t="s">
        <v>336</v>
      </c>
      <c r="J271" s="128" t="s">
        <v>168</v>
      </c>
      <c r="K271" s="399" t="s">
        <v>76</v>
      </c>
      <c r="L271" s="154"/>
      <c r="M271" s="72"/>
      <c r="N271" s="73">
        <v>0</v>
      </c>
      <c r="O271" s="72">
        <v>0</v>
      </c>
      <c r="P271" s="73">
        <v>0</v>
      </c>
    </row>
    <row r="272" spans="1:16" ht="25.5">
      <c r="A272" s="389" t="s">
        <v>317</v>
      </c>
      <c r="B272" s="381" t="s">
        <v>135</v>
      </c>
      <c r="C272" s="382" t="s">
        <v>96</v>
      </c>
      <c r="D272" s="382" t="s">
        <v>100</v>
      </c>
      <c r="E272" s="158" t="s">
        <v>121</v>
      </c>
      <c r="F272" s="159" t="s">
        <v>168</v>
      </c>
      <c r="G272" s="126" t="s">
        <v>168</v>
      </c>
      <c r="H272" s="126" t="s">
        <v>168</v>
      </c>
      <c r="I272" s="159" t="s">
        <v>318</v>
      </c>
      <c r="J272" s="128" t="s">
        <v>168</v>
      </c>
      <c r="K272" s="399"/>
      <c r="L272" s="154">
        <f aca="true" t="shared" si="58" ref="L272:P276">L273</f>
        <v>9973757.51</v>
      </c>
      <c r="M272" s="72">
        <f t="shared" si="58"/>
        <v>0</v>
      </c>
      <c r="N272" s="73">
        <f t="shared" si="58"/>
        <v>5715630</v>
      </c>
      <c r="O272" s="72">
        <f t="shared" si="58"/>
        <v>9973757.51</v>
      </c>
      <c r="P272" s="73">
        <f t="shared" si="58"/>
        <v>9973757.51</v>
      </c>
    </row>
    <row r="273" spans="1:16" ht="25.5">
      <c r="A273" s="389" t="s">
        <v>73</v>
      </c>
      <c r="B273" s="381" t="s">
        <v>135</v>
      </c>
      <c r="C273" s="382" t="s">
        <v>96</v>
      </c>
      <c r="D273" s="382" t="s">
        <v>100</v>
      </c>
      <c r="E273" s="158" t="s">
        <v>121</v>
      </c>
      <c r="F273" s="159" t="s">
        <v>168</v>
      </c>
      <c r="G273" s="126" t="s">
        <v>168</v>
      </c>
      <c r="H273" s="126" t="s">
        <v>168</v>
      </c>
      <c r="I273" s="159" t="s">
        <v>318</v>
      </c>
      <c r="J273" s="128" t="s">
        <v>168</v>
      </c>
      <c r="K273" s="399" t="s">
        <v>74</v>
      </c>
      <c r="L273" s="154">
        <f t="shared" si="58"/>
        <v>9973757.51</v>
      </c>
      <c r="M273" s="72">
        <f t="shared" si="58"/>
        <v>0</v>
      </c>
      <c r="N273" s="73">
        <f t="shared" si="58"/>
        <v>5715630</v>
      </c>
      <c r="O273" s="72">
        <f t="shared" si="58"/>
        <v>9973757.51</v>
      </c>
      <c r="P273" s="73">
        <f t="shared" si="58"/>
        <v>9973757.51</v>
      </c>
    </row>
    <row r="274" spans="1:16" ht="25.5">
      <c r="A274" s="389" t="s">
        <v>75</v>
      </c>
      <c r="B274" s="381" t="s">
        <v>135</v>
      </c>
      <c r="C274" s="382" t="s">
        <v>96</v>
      </c>
      <c r="D274" s="382" t="s">
        <v>100</v>
      </c>
      <c r="E274" s="158" t="s">
        <v>121</v>
      </c>
      <c r="F274" s="159" t="s">
        <v>168</v>
      </c>
      <c r="G274" s="126" t="s">
        <v>168</v>
      </c>
      <c r="H274" s="126" t="s">
        <v>168</v>
      </c>
      <c r="I274" s="159" t="s">
        <v>318</v>
      </c>
      <c r="J274" s="128" t="s">
        <v>168</v>
      </c>
      <c r="K274" s="399" t="s">
        <v>76</v>
      </c>
      <c r="L274" s="154">
        <v>9973757.51</v>
      </c>
      <c r="M274" s="72">
        <v>0</v>
      </c>
      <c r="N274" s="73">
        <v>5715630</v>
      </c>
      <c r="O274" s="72">
        <v>9973757.51</v>
      </c>
      <c r="P274" s="73">
        <v>9973757.51</v>
      </c>
    </row>
    <row r="275" spans="1:16" ht="38.25" hidden="1">
      <c r="A275" s="389" t="s">
        <v>345</v>
      </c>
      <c r="B275" s="381" t="s">
        <v>135</v>
      </c>
      <c r="C275" s="382" t="s">
        <v>96</v>
      </c>
      <c r="D275" s="382" t="s">
        <v>100</v>
      </c>
      <c r="E275" s="158" t="s">
        <v>316</v>
      </c>
      <c r="F275" s="159" t="s">
        <v>168</v>
      </c>
      <c r="G275" s="126" t="s">
        <v>168</v>
      </c>
      <c r="H275" s="126" t="s">
        <v>168</v>
      </c>
      <c r="I275" s="159" t="s">
        <v>344</v>
      </c>
      <c r="J275" s="128" t="s">
        <v>168</v>
      </c>
      <c r="K275" s="399"/>
      <c r="L275" s="154">
        <f t="shared" si="58"/>
        <v>9973757.51</v>
      </c>
      <c r="M275" s="72">
        <f t="shared" si="58"/>
        <v>0</v>
      </c>
      <c r="N275" s="73">
        <f t="shared" si="58"/>
        <v>0</v>
      </c>
      <c r="O275" s="72">
        <f t="shared" si="58"/>
        <v>0</v>
      </c>
      <c r="P275" s="73">
        <f t="shared" si="58"/>
        <v>0</v>
      </c>
    </row>
    <row r="276" spans="1:16" ht="25.5" hidden="1">
      <c r="A276" s="389" t="s">
        <v>73</v>
      </c>
      <c r="B276" s="381" t="s">
        <v>135</v>
      </c>
      <c r="C276" s="382" t="s">
        <v>96</v>
      </c>
      <c r="D276" s="382" t="s">
        <v>100</v>
      </c>
      <c r="E276" s="158" t="s">
        <v>316</v>
      </c>
      <c r="F276" s="159" t="s">
        <v>168</v>
      </c>
      <c r="G276" s="126" t="s">
        <v>168</v>
      </c>
      <c r="H276" s="126" t="s">
        <v>168</v>
      </c>
      <c r="I276" s="159" t="s">
        <v>344</v>
      </c>
      <c r="J276" s="128" t="s">
        <v>168</v>
      </c>
      <c r="K276" s="399" t="s">
        <v>74</v>
      </c>
      <c r="L276" s="154">
        <f t="shared" si="58"/>
        <v>9973757.51</v>
      </c>
      <c r="M276" s="72">
        <f t="shared" si="58"/>
        <v>0</v>
      </c>
      <c r="N276" s="73">
        <f t="shared" si="58"/>
        <v>0</v>
      </c>
      <c r="O276" s="72">
        <f t="shared" si="58"/>
        <v>0</v>
      </c>
      <c r="P276" s="73">
        <f t="shared" si="58"/>
        <v>0</v>
      </c>
    </row>
    <row r="277" spans="1:16" ht="25.5" hidden="1">
      <c r="A277" s="389" t="s">
        <v>75</v>
      </c>
      <c r="B277" s="381" t="s">
        <v>135</v>
      </c>
      <c r="C277" s="382" t="s">
        <v>96</v>
      </c>
      <c r="D277" s="382" t="s">
        <v>100</v>
      </c>
      <c r="E277" s="158" t="s">
        <v>316</v>
      </c>
      <c r="F277" s="159" t="s">
        <v>168</v>
      </c>
      <c r="G277" s="126" t="s">
        <v>168</v>
      </c>
      <c r="H277" s="126" t="s">
        <v>168</v>
      </c>
      <c r="I277" s="159" t="s">
        <v>344</v>
      </c>
      <c r="J277" s="128" t="s">
        <v>168</v>
      </c>
      <c r="K277" s="399" t="s">
        <v>76</v>
      </c>
      <c r="L277" s="154">
        <v>9973757.51</v>
      </c>
      <c r="M277" s="72">
        <v>0</v>
      </c>
      <c r="N277" s="73">
        <v>0</v>
      </c>
      <c r="O277" s="72">
        <v>0</v>
      </c>
      <c r="P277" s="73">
        <v>0</v>
      </c>
    </row>
    <row r="278" spans="1:16" ht="12.75">
      <c r="A278" s="380" t="s">
        <v>153</v>
      </c>
      <c r="B278" s="381" t="s">
        <v>135</v>
      </c>
      <c r="C278" s="382" t="s">
        <v>96</v>
      </c>
      <c r="D278" s="198" t="s">
        <v>111</v>
      </c>
      <c r="E278" s="198"/>
      <c r="F278" s="199"/>
      <c r="G278" s="126"/>
      <c r="H278" s="126"/>
      <c r="I278" s="199"/>
      <c r="J278" s="183"/>
      <c r="K278" s="393"/>
      <c r="L278" s="421" t="e">
        <f>L279+#REF!</f>
        <v>#REF!</v>
      </c>
      <c r="M278" s="422" t="e">
        <f>M279+#REF!</f>
        <v>#REF!</v>
      </c>
      <c r="N278" s="423">
        <f>N279</f>
        <v>69212055.39</v>
      </c>
      <c r="O278" s="422">
        <f>O279</f>
        <v>34000944.98</v>
      </c>
      <c r="P278" s="423">
        <f>P279</f>
        <v>35145009.2</v>
      </c>
    </row>
    <row r="279" spans="1:16" ht="82.5" customHeight="1">
      <c r="A279" s="449" t="s">
        <v>371</v>
      </c>
      <c r="B279" s="381" t="s">
        <v>135</v>
      </c>
      <c r="C279" s="382" t="s">
        <v>96</v>
      </c>
      <c r="D279" s="198" t="s">
        <v>111</v>
      </c>
      <c r="E279" s="152" t="s">
        <v>121</v>
      </c>
      <c r="F279" s="153" t="s">
        <v>168</v>
      </c>
      <c r="G279" s="126" t="s">
        <v>168</v>
      </c>
      <c r="H279" s="126" t="s">
        <v>168</v>
      </c>
      <c r="I279" s="153" t="s">
        <v>169</v>
      </c>
      <c r="J279" s="128" t="s">
        <v>168</v>
      </c>
      <c r="K279" s="400"/>
      <c r="L279" s="154" t="e">
        <f>#REF!+L280+L283+L286+#REF!</f>
        <v>#REF!</v>
      </c>
      <c r="M279" s="72" t="e">
        <f>#REF!+M280+M283+M286+#REF!</f>
        <v>#REF!</v>
      </c>
      <c r="N279" s="73">
        <f>N280+N283+N286+N289+N292</f>
        <v>69212055.39</v>
      </c>
      <c r="O279" s="72">
        <f>O280+O283+O286+O289+O292</f>
        <v>34000944.98</v>
      </c>
      <c r="P279" s="73">
        <f>P280+P283+P286+P289+P292</f>
        <v>35145009.2</v>
      </c>
    </row>
    <row r="280" spans="1:16" ht="69.75" customHeight="1">
      <c r="A280" s="455" t="s">
        <v>231</v>
      </c>
      <c r="B280" s="381" t="s">
        <v>135</v>
      </c>
      <c r="C280" s="382" t="s">
        <v>96</v>
      </c>
      <c r="D280" s="198" t="s">
        <v>111</v>
      </c>
      <c r="E280" s="158" t="s">
        <v>121</v>
      </c>
      <c r="F280" s="159" t="s">
        <v>168</v>
      </c>
      <c r="G280" s="126" t="s">
        <v>168</v>
      </c>
      <c r="H280" s="126" t="s">
        <v>168</v>
      </c>
      <c r="I280" s="159" t="s">
        <v>232</v>
      </c>
      <c r="J280" s="128" t="s">
        <v>256</v>
      </c>
      <c r="K280" s="399"/>
      <c r="L280" s="279">
        <f aca="true" t="shared" si="59" ref="L280:P281">L281</f>
        <v>7566400</v>
      </c>
      <c r="M280" s="387">
        <f t="shared" si="59"/>
        <v>0</v>
      </c>
      <c r="N280" s="388">
        <f t="shared" si="59"/>
        <v>8275900</v>
      </c>
      <c r="O280" s="387">
        <f t="shared" si="59"/>
        <v>8275900</v>
      </c>
      <c r="P280" s="388">
        <f t="shared" si="59"/>
        <v>8275900</v>
      </c>
    </row>
    <row r="281" spans="1:16" ht="12.75">
      <c r="A281" s="401" t="s">
        <v>127</v>
      </c>
      <c r="B281" s="381" t="s">
        <v>135</v>
      </c>
      <c r="C281" s="382" t="s">
        <v>96</v>
      </c>
      <c r="D281" s="198" t="s">
        <v>111</v>
      </c>
      <c r="E281" s="158" t="s">
        <v>121</v>
      </c>
      <c r="F281" s="159" t="s">
        <v>168</v>
      </c>
      <c r="G281" s="126" t="s">
        <v>168</v>
      </c>
      <c r="H281" s="126" t="s">
        <v>168</v>
      </c>
      <c r="I281" s="159" t="s">
        <v>232</v>
      </c>
      <c r="J281" s="128" t="s">
        <v>256</v>
      </c>
      <c r="K281" s="399" t="s">
        <v>140</v>
      </c>
      <c r="L281" s="279">
        <f t="shared" si="59"/>
        <v>7566400</v>
      </c>
      <c r="M281" s="387">
        <f t="shared" si="59"/>
        <v>0</v>
      </c>
      <c r="N281" s="388">
        <f t="shared" si="59"/>
        <v>8275900</v>
      </c>
      <c r="O281" s="387">
        <f t="shared" si="59"/>
        <v>8275900</v>
      </c>
      <c r="P281" s="388">
        <f t="shared" si="59"/>
        <v>8275900</v>
      </c>
    </row>
    <row r="282" spans="1:16" ht="12.75">
      <c r="A282" s="401" t="s">
        <v>141</v>
      </c>
      <c r="B282" s="381" t="s">
        <v>135</v>
      </c>
      <c r="C282" s="382" t="s">
        <v>96</v>
      </c>
      <c r="D282" s="198" t="s">
        <v>111</v>
      </c>
      <c r="E282" s="158" t="s">
        <v>121</v>
      </c>
      <c r="F282" s="159" t="s">
        <v>168</v>
      </c>
      <c r="G282" s="126" t="s">
        <v>168</v>
      </c>
      <c r="H282" s="126" t="s">
        <v>168</v>
      </c>
      <c r="I282" s="159" t="s">
        <v>232</v>
      </c>
      <c r="J282" s="128" t="s">
        <v>256</v>
      </c>
      <c r="K282" s="399" t="s">
        <v>175</v>
      </c>
      <c r="L282" s="279">
        <v>7566400</v>
      </c>
      <c r="M282" s="387">
        <v>0</v>
      </c>
      <c r="N282" s="388">
        <v>8275900</v>
      </c>
      <c r="O282" s="387">
        <v>8275900</v>
      </c>
      <c r="P282" s="388">
        <v>8275900</v>
      </c>
    </row>
    <row r="283" spans="1:16" ht="51">
      <c r="A283" s="389" t="s">
        <v>260</v>
      </c>
      <c r="B283" s="381" t="s">
        <v>135</v>
      </c>
      <c r="C283" s="382" t="s">
        <v>96</v>
      </c>
      <c r="D283" s="198" t="s">
        <v>111</v>
      </c>
      <c r="E283" s="124" t="s">
        <v>121</v>
      </c>
      <c r="F283" s="126" t="s">
        <v>168</v>
      </c>
      <c r="G283" s="126" t="s">
        <v>168</v>
      </c>
      <c r="H283" s="126" t="s">
        <v>168</v>
      </c>
      <c r="I283" s="126" t="s">
        <v>259</v>
      </c>
      <c r="J283" s="128" t="s">
        <v>256</v>
      </c>
      <c r="K283" s="390"/>
      <c r="L283" s="279">
        <f aca="true" t="shared" si="60" ref="L283:P284">L284</f>
        <v>9008886.68</v>
      </c>
      <c r="M283" s="387">
        <f t="shared" si="60"/>
        <v>0</v>
      </c>
      <c r="N283" s="388">
        <f t="shared" si="60"/>
        <v>13691659.39</v>
      </c>
      <c r="O283" s="387">
        <f t="shared" si="60"/>
        <v>22379144.979999997</v>
      </c>
      <c r="P283" s="388">
        <f t="shared" si="60"/>
        <v>23523209.200000003</v>
      </c>
    </row>
    <row r="284" spans="1:16" ht="25.5">
      <c r="A284" s="389" t="s">
        <v>73</v>
      </c>
      <c r="B284" s="381" t="s">
        <v>135</v>
      </c>
      <c r="C284" s="382" t="s">
        <v>96</v>
      </c>
      <c r="D284" s="198" t="s">
        <v>111</v>
      </c>
      <c r="E284" s="124" t="s">
        <v>121</v>
      </c>
      <c r="F284" s="126" t="s">
        <v>168</v>
      </c>
      <c r="G284" s="126" t="s">
        <v>168</v>
      </c>
      <c r="H284" s="126" t="s">
        <v>168</v>
      </c>
      <c r="I284" s="126" t="s">
        <v>259</v>
      </c>
      <c r="J284" s="128" t="s">
        <v>256</v>
      </c>
      <c r="K284" s="390" t="s">
        <v>74</v>
      </c>
      <c r="L284" s="279">
        <f t="shared" si="60"/>
        <v>9008886.68</v>
      </c>
      <c r="M284" s="387">
        <f t="shared" si="60"/>
        <v>0</v>
      </c>
      <c r="N284" s="388">
        <f t="shared" si="60"/>
        <v>13691659.39</v>
      </c>
      <c r="O284" s="387">
        <f t="shared" si="60"/>
        <v>22379144.979999997</v>
      </c>
      <c r="P284" s="388">
        <f t="shared" si="60"/>
        <v>23523209.200000003</v>
      </c>
    </row>
    <row r="285" spans="1:18" ht="25.5">
      <c r="A285" s="389" t="s">
        <v>75</v>
      </c>
      <c r="B285" s="381" t="s">
        <v>135</v>
      </c>
      <c r="C285" s="382" t="s">
        <v>96</v>
      </c>
      <c r="D285" s="198" t="s">
        <v>111</v>
      </c>
      <c r="E285" s="124" t="s">
        <v>121</v>
      </c>
      <c r="F285" s="126" t="s">
        <v>168</v>
      </c>
      <c r="G285" s="126" t="s">
        <v>168</v>
      </c>
      <c r="H285" s="126" t="s">
        <v>168</v>
      </c>
      <c r="I285" s="126" t="s">
        <v>259</v>
      </c>
      <c r="J285" s="128" t="s">
        <v>256</v>
      </c>
      <c r="K285" s="390" t="s">
        <v>76</v>
      </c>
      <c r="L285" s="279">
        <v>9008886.68</v>
      </c>
      <c r="M285" s="387">
        <v>0</v>
      </c>
      <c r="N285" s="388">
        <v>13691659.39</v>
      </c>
      <c r="O285" s="387">
        <f>34000944.98-O282-O288</f>
        <v>22379144.979999997</v>
      </c>
      <c r="P285" s="388">
        <f>35145009.2-P282-P288</f>
        <v>23523209.200000003</v>
      </c>
      <c r="Q285" s="394"/>
      <c r="R285" s="394"/>
    </row>
    <row r="286" spans="1:16" ht="51">
      <c r="A286" s="389" t="s">
        <v>261</v>
      </c>
      <c r="B286" s="381" t="s">
        <v>135</v>
      </c>
      <c r="C286" s="382" t="s">
        <v>96</v>
      </c>
      <c r="D286" s="198" t="s">
        <v>111</v>
      </c>
      <c r="E286" s="124" t="s">
        <v>121</v>
      </c>
      <c r="F286" s="126" t="s">
        <v>168</v>
      </c>
      <c r="G286" s="126" t="s">
        <v>168</v>
      </c>
      <c r="H286" s="126" t="s">
        <v>168</v>
      </c>
      <c r="I286" s="126" t="s">
        <v>262</v>
      </c>
      <c r="J286" s="128" t="s">
        <v>256</v>
      </c>
      <c r="K286" s="390"/>
      <c r="L286" s="279">
        <f aca="true" t="shared" si="61" ref="L286:P287">L287</f>
        <v>3731500</v>
      </c>
      <c r="M286" s="387">
        <f t="shared" si="61"/>
        <v>0</v>
      </c>
      <c r="N286" s="388">
        <f t="shared" si="61"/>
        <v>3345900</v>
      </c>
      <c r="O286" s="387">
        <f t="shared" si="61"/>
        <v>3345900</v>
      </c>
      <c r="P286" s="388">
        <f t="shared" si="61"/>
        <v>3345900</v>
      </c>
    </row>
    <row r="287" spans="1:16" ht="12.75">
      <c r="A287" s="401" t="s">
        <v>127</v>
      </c>
      <c r="B287" s="381" t="s">
        <v>135</v>
      </c>
      <c r="C287" s="382" t="s">
        <v>96</v>
      </c>
      <c r="D287" s="198" t="s">
        <v>111</v>
      </c>
      <c r="E287" s="158" t="s">
        <v>121</v>
      </c>
      <c r="F287" s="159" t="s">
        <v>168</v>
      </c>
      <c r="G287" s="126" t="s">
        <v>168</v>
      </c>
      <c r="H287" s="126" t="s">
        <v>168</v>
      </c>
      <c r="I287" s="159" t="s">
        <v>262</v>
      </c>
      <c r="J287" s="128" t="s">
        <v>256</v>
      </c>
      <c r="K287" s="399" t="s">
        <v>140</v>
      </c>
      <c r="L287" s="279">
        <f t="shared" si="61"/>
        <v>3731500</v>
      </c>
      <c r="M287" s="387">
        <f t="shared" si="61"/>
        <v>0</v>
      </c>
      <c r="N287" s="388">
        <f t="shared" si="61"/>
        <v>3345900</v>
      </c>
      <c r="O287" s="387">
        <f t="shared" si="61"/>
        <v>3345900</v>
      </c>
      <c r="P287" s="388">
        <f t="shared" si="61"/>
        <v>3345900</v>
      </c>
    </row>
    <row r="288" spans="1:16" ht="12.75">
      <c r="A288" s="401" t="s">
        <v>141</v>
      </c>
      <c r="B288" s="381" t="s">
        <v>135</v>
      </c>
      <c r="C288" s="382" t="s">
        <v>96</v>
      </c>
      <c r="D288" s="198" t="s">
        <v>111</v>
      </c>
      <c r="E288" s="158" t="s">
        <v>121</v>
      </c>
      <c r="F288" s="159" t="s">
        <v>168</v>
      </c>
      <c r="G288" s="126" t="s">
        <v>168</v>
      </c>
      <c r="H288" s="126" t="s">
        <v>168</v>
      </c>
      <c r="I288" s="159" t="s">
        <v>262</v>
      </c>
      <c r="J288" s="128" t="s">
        <v>256</v>
      </c>
      <c r="K288" s="399" t="s">
        <v>175</v>
      </c>
      <c r="L288" s="279">
        <f>3572500+159000</f>
        <v>3731500</v>
      </c>
      <c r="M288" s="387">
        <v>0</v>
      </c>
      <c r="N288" s="388">
        <v>3345900</v>
      </c>
      <c r="O288" s="387">
        <v>3345900</v>
      </c>
      <c r="P288" s="388">
        <v>3345900</v>
      </c>
    </row>
    <row r="289" spans="1:16" ht="25.5" hidden="1">
      <c r="A289" s="401" t="s">
        <v>343</v>
      </c>
      <c r="B289" s="381" t="s">
        <v>135</v>
      </c>
      <c r="C289" s="382" t="s">
        <v>96</v>
      </c>
      <c r="D289" s="198" t="s">
        <v>111</v>
      </c>
      <c r="E289" s="158" t="s">
        <v>121</v>
      </c>
      <c r="F289" s="159" t="s">
        <v>168</v>
      </c>
      <c r="G289" s="126" t="s">
        <v>168</v>
      </c>
      <c r="H289" s="126" t="s">
        <v>168</v>
      </c>
      <c r="I289" s="159" t="s">
        <v>342</v>
      </c>
      <c r="J289" s="128" t="s">
        <v>168</v>
      </c>
      <c r="K289" s="399"/>
      <c r="L289" s="279"/>
      <c r="M289" s="387"/>
      <c r="N289" s="388">
        <f aca="true" t="shared" si="62" ref="N289:P290">N290</f>
        <v>0</v>
      </c>
      <c r="O289" s="387">
        <f t="shared" si="62"/>
        <v>0</v>
      </c>
      <c r="P289" s="388">
        <f t="shared" si="62"/>
        <v>0</v>
      </c>
    </row>
    <row r="290" spans="1:16" ht="25.5" hidden="1">
      <c r="A290" s="389" t="s">
        <v>73</v>
      </c>
      <c r="B290" s="381" t="s">
        <v>135</v>
      </c>
      <c r="C290" s="382" t="s">
        <v>96</v>
      </c>
      <c r="D290" s="198" t="s">
        <v>111</v>
      </c>
      <c r="E290" s="158" t="s">
        <v>121</v>
      </c>
      <c r="F290" s="159" t="s">
        <v>168</v>
      </c>
      <c r="G290" s="126" t="s">
        <v>168</v>
      </c>
      <c r="H290" s="126" t="s">
        <v>168</v>
      </c>
      <c r="I290" s="159" t="s">
        <v>342</v>
      </c>
      <c r="J290" s="128" t="s">
        <v>168</v>
      </c>
      <c r="K290" s="399" t="s">
        <v>74</v>
      </c>
      <c r="L290" s="279"/>
      <c r="M290" s="387"/>
      <c r="N290" s="388">
        <f t="shared" si="62"/>
        <v>0</v>
      </c>
      <c r="O290" s="387">
        <f t="shared" si="62"/>
        <v>0</v>
      </c>
      <c r="P290" s="388">
        <f t="shared" si="62"/>
        <v>0</v>
      </c>
    </row>
    <row r="291" spans="1:16" ht="25.5" hidden="1">
      <c r="A291" s="389" t="s">
        <v>75</v>
      </c>
      <c r="B291" s="381" t="s">
        <v>135</v>
      </c>
      <c r="C291" s="382" t="s">
        <v>96</v>
      </c>
      <c r="D291" s="198" t="s">
        <v>111</v>
      </c>
      <c r="E291" s="158" t="s">
        <v>121</v>
      </c>
      <c r="F291" s="159" t="s">
        <v>168</v>
      </c>
      <c r="G291" s="126" t="s">
        <v>168</v>
      </c>
      <c r="H291" s="126" t="s">
        <v>168</v>
      </c>
      <c r="I291" s="159" t="s">
        <v>342</v>
      </c>
      <c r="J291" s="128" t="s">
        <v>168</v>
      </c>
      <c r="K291" s="399" t="s">
        <v>76</v>
      </c>
      <c r="L291" s="279"/>
      <c r="M291" s="387"/>
      <c r="N291" s="388">
        <v>0</v>
      </c>
      <c r="O291" s="387">
        <v>0</v>
      </c>
      <c r="P291" s="388">
        <v>0</v>
      </c>
    </row>
    <row r="292" spans="1:16" ht="38.25">
      <c r="A292" s="449" t="s">
        <v>347</v>
      </c>
      <c r="B292" s="381" t="s">
        <v>135</v>
      </c>
      <c r="C292" s="382" t="s">
        <v>96</v>
      </c>
      <c r="D292" s="198" t="s">
        <v>111</v>
      </c>
      <c r="E292" s="152" t="s">
        <v>121</v>
      </c>
      <c r="F292" s="153" t="s">
        <v>168</v>
      </c>
      <c r="G292" s="126" t="s">
        <v>168</v>
      </c>
      <c r="H292" s="126" t="s">
        <v>168</v>
      </c>
      <c r="I292" s="153" t="s">
        <v>346</v>
      </c>
      <c r="J292" s="128" t="s">
        <v>256</v>
      </c>
      <c r="K292" s="400"/>
      <c r="L292" s="279"/>
      <c r="M292" s="387"/>
      <c r="N292" s="388">
        <f aca="true" t="shared" si="63" ref="N292:P293">N293</f>
        <v>43898596</v>
      </c>
      <c r="O292" s="387">
        <f t="shared" si="63"/>
        <v>0</v>
      </c>
      <c r="P292" s="388">
        <f t="shared" si="63"/>
        <v>0</v>
      </c>
    </row>
    <row r="293" spans="1:16" ht="25.5">
      <c r="A293" s="389" t="s">
        <v>73</v>
      </c>
      <c r="B293" s="381" t="s">
        <v>135</v>
      </c>
      <c r="C293" s="382" t="s">
        <v>96</v>
      </c>
      <c r="D293" s="198" t="s">
        <v>111</v>
      </c>
      <c r="E293" s="152" t="s">
        <v>121</v>
      </c>
      <c r="F293" s="153" t="s">
        <v>168</v>
      </c>
      <c r="G293" s="126" t="s">
        <v>168</v>
      </c>
      <c r="H293" s="126" t="s">
        <v>168</v>
      </c>
      <c r="I293" s="153" t="s">
        <v>346</v>
      </c>
      <c r="J293" s="128" t="s">
        <v>256</v>
      </c>
      <c r="K293" s="399" t="s">
        <v>74</v>
      </c>
      <c r="L293" s="279"/>
      <c r="M293" s="387"/>
      <c r="N293" s="388">
        <f t="shared" si="63"/>
        <v>43898596</v>
      </c>
      <c r="O293" s="387">
        <f t="shared" si="63"/>
        <v>0</v>
      </c>
      <c r="P293" s="388">
        <f t="shared" si="63"/>
        <v>0</v>
      </c>
    </row>
    <row r="294" spans="1:16" ht="25.5">
      <c r="A294" s="389" t="s">
        <v>75</v>
      </c>
      <c r="B294" s="381" t="s">
        <v>135</v>
      </c>
      <c r="C294" s="382" t="s">
        <v>96</v>
      </c>
      <c r="D294" s="198" t="s">
        <v>111</v>
      </c>
      <c r="E294" s="152" t="s">
        <v>121</v>
      </c>
      <c r="F294" s="153" t="s">
        <v>168</v>
      </c>
      <c r="G294" s="126" t="s">
        <v>168</v>
      </c>
      <c r="H294" s="126" t="s">
        <v>168</v>
      </c>
      <c r="I294" s="153" t="s">
        <v>346</v>
      </c>
      <c r="J294" s="128" t="s">
        <v>256</v>
      </c>
      <c r="K294" s="399" t="s">
        <v>76</v>
      </c>
      <c r="L294" s="279"/>
      <c r="M294" s="387"/>
      <c r="N294" s="388">
        <f>36874820.64+7023775.36</f>
        <v>43898596</v>
      </c>
      <c r="O294" s="387">
        <v>0</v>
      </c>
      <c r="P294" s="388">
        <v>0</v>
      </c>
    </row>
    <row r="295" spans="1:18" ht="12.75">
      <c r="A295" s="380" t="s">
        <v>120</v>
      </c>
      <c r="B295" s="381" t="s">
        <v>135</v>
      </c>
      <c r="C295" s="382" t="s">
        <v>96</v>
      </c>
      <c r="D295" s="198" t="s">
        <v>126</v>
      </c>
      <c r="E295" s="198"/>
      <c r="F295" s="199"/>
      <c r="G295" s="126"/>
      <c r="H295" s="126"/>
      <c r="I295" s="199"/>
      <c r="J295" s="128"/>
      <c r="K295" s="393"/>
      <c r="L295" s="421">
        <f aca="true" t="shared" si="64" ref="L295:P296">L296</f>
        <v>2073576.66</v>
      </c>
      <c r="M295" s="422">
        <f t="shared" si="64"/>
        <v>0</v>
      </c>
      <c r="N295" s="423">
        <f t="shared" si="64"/>
        <v>1174608.3399999999</v>
      </c>
      <c r="O295" s="422">
        <f t="shared" si="64"/>
        <v>2073576.67</v>
      </c>
      <c r="P295" s="423">
        <f t="shared" si="64"/>
        <v>2073576.67</v>
      </c>
      <c r="Q295" s="421"/>
      <c r="R295" s="422"/>
    </row>
    <row r="296" spans="1:16" ht="34.5" customHeight="1">
      <c r="A296" s="380" t="s">
        <v>378</v>
      </c>
      <c r="B296" s="381" t="s">
        <v>135</v>
      </c>
      <c r="C296" s="382" t="s">
        <v>96</v>
      </c>
      <c r="D296" s="198" t="s">
        <v>126</v>
      </c>
      <c r="E296" s="158" t="s">
        <v>241</v>
      </c>
      <c r="F296" s="159" t="s">
        <v>168</v>
      </c>
      <c r="G296" s="126" t="s">
        <v>168</v>
      </c>
      <c r="H296" s="126" t="s">
        <v>168</v>
      </c>
      <c r="I296" s="159" t="s">
        <v>169</v>
      </c>
      <c r="J296" s="128" t="s">
        <v>168</v>
      </c>
      <c r="K296" s="399"/>
      <c r="L296" s="279">
        <f t="shared" si="64"/>
        <v>2073576.66</v>
      </c>
      <c r="M296" s="387">
        <f t="shared" si="64"/>
        <v>0</v>
      </c>
      <c r="N296" s="388">
        <f t="shared" si="64"/>
        <v>1174608.3399999999</v>
      </c>
      <c r="O296" s="387">
        <f t="shared" si="64"/>
        <v>2073576.67</v>
      </c>
      <c r="P296" s="388">
        <f t="shared" si="64"/>
        <v>2073576.67</v>
      </c>
    </row>
    <row r="297" spans="1:16" ht="24" customHeight="1">
      <c r="A297" s="401" t="s">
        <v>244</v>
      </c>
      <c r="B297" s="381" t="s">
        <v>135</v>
      </c>
      <c r="C297" s="382" t="s">
        <v>96</v>
      </c>
      <c r="D297" s="198" t="s">
        <v>126</v>
      </c>
      <c r="E297" s="158" t="s">
        <v>241</v>
      </c>
      <c r="F297" s="159" t="s">
        <v>168</v>
      </c>
      <c r="G297" s="126" t="s">
        <v>168</v>
      </c>
      <c r="H297" s="126" t="s">
        <v>168</v>
      </c>
      <c r="I297" s="159" t="s">
        <v>210</v>
      </c>
      <c r="J297" s="128" t="s">
        <v>168</v>
      </c>
      <c r="K297" s="399"/>
      <c r="L297" s="279">
        <f>L300</f>
        <v>2073576.66</v>
      </c>
      <c r="M297" s="387">
        <f>M300</f>
        <v>0</v>
      </c>
      <c r="N297" s="388">
        <f>N300+N298</f>
        <v>1174608.3399999999</v>
      </c>
      <c r="O297" s="387">
        <f>O300+O299</f>
        <v>2073576.67</v>
      </c>
      <c r="P297" s="388">
        <f>P300+P299</f>
        <v>2073576.67</v>
      </c>
    </row>
    <row r="298" spans="1:16" ht="35.25" customHeight="1">
      <c r="A298" s="401" t="s">
        <v>29</v>
      </c>
      <c r="B298" s="381" t="s">
        <v>135</v>
      </c>
      <c r="C298" s="382" t="s">
        <v>96</v>
      </c>
      <c r="D298" s="198" t="s">
        <v>126</v>
      </c>
      <c r="E298" s="158" t="s">
        <v>241</v>
      </c>
      <c r="F298" s="159" t="s">
        <v>168</v>
      </c>
      <c r="G298" s="126" t="s">
        <v>168</v>
      </c>
      <c r="H298" s="126" t="s">
        <v>168</v>
      </c>
      <c r="I298" s="159" t="s">
        <v>210</v>
      </c>
      <c r="J298" s="128" t="s">
        <v>168</v>
      </c>
      <c r="K298" s="399" t="s">
        <v>182</v>
      </c>
      <c r="L298" s="279"/>
      <c r="M298" s="387"/>
      <c r="N298" s="388">
        <f>N299</f>
        <v>666308.34</v>
      </c>
      <c r="O298" s="387">
        <f>O299</f>
        <v>1176276.67</v>
      </c>
      <c r="P298" s="388">
        <f>P299</f>
        <v>1176276.67</v>
      </c>
    </row>
    <row r="299" spans="1:16" ht="57.75" customHeight="1">
      <c r="A299" s="401" t="s">
        <v>265</v>
      </c>
      <c r="B299" s="381" t="s">
        <v>135</v>
      </c>
      <c r="C299" s="382" t="s">
        <v>96</v>
      </c>
      <c r="D299" s="198" t="s">
        <v>126</v>
      </c>
      <c r="E299" s="158" t="s">
        <v>241</v>
      </c>
      <c r="F299" s="159" t="s">
        <v>168</v>
      </c>
      <c r="G299" s="126" t="s">
        <v>168</v>
      </c>
      <c r="H299" s="126" t="s">
        <v>168</v>
      </c>
      <c r="I299" s="159" t="s">
        <v>210</v>
      </c>
      <c r="J299" s="128" t="s">
        <v>168</v>
      </c>
      <c r="K299" s="399" t="s">
        <v>193</v>
      </c>
      <c r="L299" s="279"/>
      <c r="M299" s="387"/>
      <c r="N299" s="388">
        <v>666308.34</v>
      </c>
      <c r="O299" s="387">
        <v>1176276.67</v>
      </c>
      <c r="P299" s="388">
        <v>1176276.67</v>
      </c>
    </row>
    <row r="300" spans="1:16" ht="12.75">
      <c r="A300" s="389" t="s">
        <v>83</v>
      </c>
      <c r="B300" s="381" t="s">
        <v>135</v>
      </c>
      <c r="C300" s="382" t="s">
        <v>96</v>
      </c>
      <c r="D300" s="198" t="s">
        <v>126</v>
      </c>
      <c r="E300" s="158" t="s">
        <v>241</v>
      </c>
      <c r="F300" s="159" t="s">
        <v>168</v>
      </c>
      <c r="G300" s="126" t="s">
        <v>168</v>
      </c>
      <c r="H300" s="126" t="s">
        <v>168</v>
      </c>
      <c r="I300" s="159" t="s">
        <v>210</v>
      </c>
      <c r="J300" s="128" t="s">
        <v>168</v>
      </c>
      <c r="K300" s="399" t="s">
        <v>84</v>
      </c>
      <c r="L300" s="279">
        <f>L301</f>
        <v>2073576.66</v>
      </c>
      <c r="M300" s="387">
        <f>M301</f>
        <v>0</v>
      </c>
      <c r="N300" s="388">
        <f>N301</f>
        <v>508300</v>
      </c>
      <c r="O300" s="387">
        <f>O301</f>
        <v>897300</v>
      </c>
      <c r="P300" s="388">
        <f>P301</f>
        <v>897300</v>
      </c>
    </row>
    <row r="301" spans="1:16" ht="51" customHeight="1">
      <c r="A301" s="389" t="s">
        <v>224</v>
      </c>
      <c r="B301" s="381" t="s">
        <v>135</v>
      </c>
      <c r="C301" s="382" t="s">
        <v>96</v>
      </c>
      <c r="D301" s="198" t="s">
        <v>126</v>
      </c>
      <c r="E301" s="158" t="s">
        <v>241</v>
      </c>
      <c r="F301" s="159" t="s">
        <v>168</v>
      </c>
      <c r="G301" s="126" t="s">
        <v>168</v>
      </c>
      <c r="H301" s="126" t="s">
        <v>168</v>
      </c>
      <c r="I301" s="159" t="s">
        <v>210</v>
      </c>
      <c r="J301" s="128" t="s">
        <v>168</v>
      </c>
      <c r="K301" s="399" t="s">
        <v>173</v>
      </c>
      <c r="L301" s="279">
        <v>2073576.66</v>
      </c>
      <c r="M301" s="387">
        <v>0</v>
      </c>
      <c r="N301" s="388">
        <v>508300</v>
      </c>
      <c r="O301" s="387">
        <v>897300</v>
      </c>
      <c r="P301" s="388">
        <v>897300</v>
      </c>
    </row>
    <row r="302" spans="1:16" ht="12.75">
      <c r="A302" s="420" t="s">
        <v>102</v>
      </c>
      <c r="B302" s="381" t="s">
        <v>135</v>
      </c>
      <c r="C302" s="382" t="s">
        <v>98</v>
      </c>
      <c r="D302" s="198"/>
      <c r="E302" s="198"/>
      <c r="F302" s="199"/>
      <c r="G302" s="126"/>
      <c r="H302" s="126"/>
      <c r="I302" s="199"/>
      <c r="J302" s="183"/>
      <c r="K302" s="393"/>
      <c r="L302" s="421">
        <f>L308</f>
        <v>300000</v>
      </c>
      <c r="M302" s="422">
        <f>M308</f>
        <v>0</v>
      </c>
      <c r="N302" s="423">
        <f>N308+N303</f>
        <v>7929454</v>
      </c>
      <c r="O302" s="422">
        <f>O308+O303</f>
        <v>0</v>
      </c>
      <c r="P302" s="423">
        <f>P308+P303</f>
        <v>0</v>
      </c>
    </row>
    <row r="303" spans="1:16" ht="12.75">
      <c r="A303" s="420" t="s">
        <v>163</v>
      </c>
      <c r="B303" s="381" t="s">
        <v>135</v>
      </c>
      <c r="C303" s="382" t="s">
        <v>98</v>
      </c>
      <c r="D303" s="198" t="s">
        <v>94</v>
      </c>
      <c r="E303" s="198"/>
      <c r="F303" s="199"/>
      <c r="G303" s="126"/>
      <c r="H303" s="126"/>
      <c r="I303" s="199"/>
      <c r="J303" s="183"/>
      <c r="K303" s="393"/>
      <c r="L303" s="421"/>
      <c r="M303" s="422"/>
      <c r="N303" s="423">
        <f>N304</f>
        <v>400000</v>
      </c>
      <c r="O303" s="422">
        <f>O304</f>
        <v>0</v>
      </c>
      <c r="P303" s="423">
        <f>P304</f>
        <v>0</v>
      </c>
    </row>
    <row r="304" spans="1:16" ht="51">
      <c r="A304" s="449" t="s">
        <v>322</v>
      </c>
      <c r="B304" s="381" t="s">
        <v>135</v>
      </c>
      <c r="C304" s="382" t="s">
        <v>98</v>
      </c>
      <c r="D304" s="198" t="s">
        <v>94</v>
      </c>
      <c r="E304" s="182" t="s">
        <v>96</v>
      </c>
      <c r="F304" s="199" t="s">
        <v>168</v>
      </c>
      <c r="G304" s="126" t="s">
        <v>168</v>
      </c>
      <c r="H304" s="126" t="s">
        <v>168</v>
      </c>
      <c r="I304" s="126" t="s">
        <v>169</v>
      </c>
      <c r="J304" s="128" t="s">
        <v>168</v>
      </c>
      <c r="K304" s="390"/>
      <c r="L304" s="421"/>
      <c r="M304" s="422"/>
      <c r="N304" s="423">
        <f>N305</f>
        <v>400000</v>
      </c>
      <c r="O304" s="422">
        <f>O305+O308+O311</f>
        <v>0</v>
      </c>
      <c r="P304" s="423">
        <f>P305+P308+P311</f>
        <v>0</v>
      </c>
    </row>
    <row r="305" spans="1:16" ht="25.5">
      <c r="A305" s="395" t="s">
        <v>217</v>
      </c>
      <c r="B305" s="381" t="s">
        <v>135</v>
      </c>
      <c r="C305" s="382" t="s">
        <v>98</v>
      </c>
      <c r="D305" s="198" t="s">
        <v>94</v>
      </c>
      <c r="E305" s="124" t="s">
        <v>96</v>
      </c>
      <c r="F305" s="199" t="s">
        <v>168</v>
      </c>
      <c r="G305" s="126" t="s">
        <v>168</v>
      </c>
      <c r="H305" s="126" t="s">
        <v>168</v>
      </c>
      <c r="I305" s="126" t="s">
        <v>216</v>
      </c>
      <c r="J305" s="128" t="s">
        <v>168</v>
      </c>
      <c r="K305" s="390"/>
      <c r="L305" s="421"/>
      <c r="M305" s="422"/>
      <c r="N305" s="423">
        <f aca="true" t="shared" si="65" ref="N305:P306">N306</f>
        <v>400000</v>
      </c>
      <c r="O305" s="422">
        <f t="shared" si="65"/>
        <v>0</v>
      </c>
      <c r="P305" s="423">
        <f t="shared" si="65"/>
        <v>0</v>
      </c>
    </row>
    <row r="306" spans="1:16" ht="25.5">
      <c r="A306" s="380" t="s">
        <v>228</v>
      </c>
      <c r="B306" s="381" t="s">
        <v>135</v>
      </c>
      <c r="C306" s="382" t="s">
        <v>98</v>
      </c>
      <c r="D306" s="198" t="s">
        <v>94</v>
      </c>
      <c r="E306" s="124" t="s">
        <v>96</v>
      </c>
      <c r="F306" s="126" t="s">
        <v>168</v>
      </c>
      <c r="G306" s="126" t="s">
        <v>168</v>
      </c>
      <c r="H306" s="126" t="s">
        <v>168</v>
      </c>
      <c r="I306" s="456" t="s">
        <v>216</v>
      </c>
      <c r="J306" s="457" t="s">
        <v>168</v>
      </c>
      <c r="K306" s="458" t="s">
        <v>199</v>
      </c>
      <c r="L306" s="421"/>
      <c r="M306" s="422"/>
      <c r="N306" s="423">
        <f t="shared" si="65"/>
        <v>400000</v>
      </c>
      <c r="O306" s="422">
        <f t="shared" si="65"/>
        <v>0</v>
      </c>
      <c r="P306" s="423">
        <f t="shared" si="65"/>
        <v>0</v>
      </c>
    </row>
    <row r="307" spans="1:16" ht="12.75">
      <c r="A307" s="401" t="s">
        <v>201</v>
      </c>
      <c r="B307" s="381" t="s">
        <v>135</v>
      </c>
      <c r="C307" s="382" t="s">
        <v>98</v>
      </c>
      <c r="D307" s="198" t="s">
        <v>94</v>
      </c>
      <c r="E307" s="124" t="s">
        <v>96</v>
      </c>
      <c r="F307" s="125" t="s">
        <v>168</v>
      </c>
      <c r="G307" s="126" t="s">
        <v>168</v>
      </c>
      <c r="H307" s="126" t="s">
        <v>168</v>
      </c>
      <c r="I307" s="456" t="s">
        <v>216</v>
      </c>
      <c r="J307" s="457" t="s">
        <v>168</v>
      </c>
      <c r="K307" s="458" t="s">
        <v>200</v>
      </c>
      <c r="L307" s="421"/>
      <c r="M307" s="422"/>
      <c r="N307" s="423">
        <v>400000</v>
      </c>
      <c r="O307" s="422">
        <v>0</v>
      </c>
      <c r="P307" s="423">
        <v>0</v>
      </c>
    </row>
    <row r="308" spans="1:16" ht="12.75">
      <c r="A308" s="420" t="s">
        <v>114</v>
      </c>
      <c r="B308" s="381" t="s">
        <v>135</v>
      </c>
      <c r="C308" s="382" t="s">
        <v>98</v>
      </c>
      <c r="D308" s="198" t="s">
        <v>101</v>
      </c>
      <c r="E308" s="198"/>
      <c r="F308" s="199"/>
      <c r="G308" s="126"/>
      <c r="H308" s="126"/>
      <c r="I308" s="199"/>
      <c r="J308" s="128"/>
      <c r="K308" s="393"/>
      <c r="L308" s="421">
        <f aca="true" t="shared" si="66" ref="L308:N311">L309</f>
        <v>300000</v>
      </c>
      <c r="M308" s="422">
        <f t="shared" si="66"/>
        <v>0</v>
      </c>
      <c r="N308" s="423">
        <f>N309</f>
        <v>7529454</v>
      </c>
      <c r="O308" s="422">
        <f aca="true" t="shared" si="67" ref="O308:P311">O309</f>
        <v>0</v>
      </c>
      <c r="P308" s="423">
        <f t="shared" si="67"/>
        <v>0</v>
      </c>
    </row>
    <row r="309" spans="1:16" ht="51">
      <c r="A309" s="449" t="s">
        <v>322</v>
      </c>
      <c r="B309" s="381" t="s">
        <v>135</v>
      </c>
      <c r="C309" s="382" t="s">
        <v>98</v>
      </c>
      <c r="D309" s="198" t="s">
        <v>101</v>
      </c>
      <c r="E309" s="182" t="s">
        <v>96</v>
      </c>
      <c r="F309" s="199" t="s">
        <v>168</v>
      </c>
      <c r="G309" s="126" t="s">
        <v>168</v>
      </c>
      <c r="H309" s="126" t="s">
        <v>168</v>
      </c>
      <c r="I309" s="126" t="s">
        <v>169</v>
      </c>
      <c r="J309" s="128" t="s">
        <v>168</v>
      </c>
      <c r="K309" s="390"/>
      <c r="L309" s="421">
        <f t="shared" si="66"/>
        <v>300000</v>
      </c>
      <c r="M309" s="422">
        <f t="shared" si="66"/>
        <v>0</v>
      </c>
      <c r="N309" s="423">
        <f>N310</f>
        <v>7529454</v>
      </c>
      <c r="O309" s="422">
        <f t="shared" si="67"/>
        <v>0</v>
      </c>
      <c r="P309" s="423">
        <f t="shared" si="67"/>
        <v>0</v>
      </c>
    </row>
    <row r="310" spans="1:16" ht="25.5">
      <c r="A310" s="395" t="s">
        <v>217</v>
      </c>
      <c r="B310" s="381" t="s">
        <v>135</v>
      </c>
      <c r="C310" s="382" t="s">
        <v>98</v>
      </c>
      <c r="D310" s="198" t="s">
        <v>101</v>
      </c>
      <c r="E310" s="124" t="s">
        <v>96</v>
      </c>
      <c r="F310" s="199" t="s">
        <v>168</v>
      </c>
      <c r="G310" s="126" t="s">
        <v>168</v>
      </c>
      <c r="H310" s="126" t="s">
        <v>168</v>
      </c>
      <c r="I310" s="126" t="s">
        <v>216</v>
      </c>
      <c r="J310" s="128" t="s">
        <v>168</v>
      </c>
      <c r="K310" s="390"/>
      <c r="L310" s="421">
        <f t="shared" si="66"/>
        <v>300000</v>
      </c>
      <c r="M310" s="422">
        <f t="shared" si="66"/>
        <v>0</v>
      </c>
      <c r="N310" s="423">
        <f t="shared" si="66"/>
        <v>7529454</v>
      </c>
      <c r="O310" s="422">
        <f t="shared" si="67"/>
        <v>0</v>
      </c>
      <c r="P310" s="423">
        <f t="shared" si="67"/>
        <v>0</v>
      </c>
    </row>
    <row r="311" spans="1:16" ht="25.5">
      <c r="A311" s="380" t="s">
        <v>228</v>
      </c>
      <c r="B311" s="381" t="s">
        <v>135</v>
      </c>
      <c r="C311" s="382" t="s">
        <v>98</v>
      </c>
      <c r="D311" s="198" t="s">
        <v>101</v>
      </c>
      <c r="E311" s="124" t="s">
        <v>96</v>
      </c>
      <c r="F311" s="126" t="s">
        <v>168</v>
      </c>
      <c r="G311" s="126" t="s">
        <v>168</v>
      </c>
      <c r="H311" s="126" t="s">
        <v>168</v>
      </c>
      <c r="I311" s="126" t="s">
        <v>216</v>
      </c>
      <c r="J311" s="128" t="s">
        <v>168</v>
      </c>
      <c r="K311" s="390" t="s">
        <v>199</v>
      </c>
      <c r="L311" s="421">
        <f t="shared" si="66"/>
        <v>300000</v>
      </c>
      <c r="M311" s="422">
        <f t="shared" si="66"/>
        <v>0</v>
      </c>
      <c r="N311" s="423">
        <f t="shared" si="66"/>
        <v>7529454</v>
      </c>
      <c r="O311" s="422">
        <f t="shared" si="67"/>
        <v>0</v>
      </c>
      <c r="P311" s="423">
        <f t="shared" si="67"/>
        <v>0</v>
      </c>
    </row>
    <row r="312" spans="1:16" ht="12.75">
      <c r="A312" s="401" t="s">
        <v>201</v>
      </c>
      <c r="B312" s="381" t="s">
        <v>135</v>
      </c>
      <c r="C312" s="382" t="s">
        <v>98</v>
      </c>
      <c r="D312" s="198" t="s">
        <v>101</v>
      </c>
      <c r="E312" s="124" t="s">
        <v>96</v>
      </c>
      <c r="F312" s="125" t="s">
        <v>168</v>
      </c>
      <c r="G312" s="126" t="s">
        <v>168</v>
      </c>
      <c r="H312" s="126" t="s">
        <v>168</v>
      </c>
      <c r="I312" s="126" t="s">
        <v>216</v>
      </c>
      <c r="J312" s="128" t="s">
        <v>168</v>
      </c>
      <c r="K312" s="390" t="s">
        <v>200</v>
      </c>
      <c r="L312" s="421">
        <v>300000</v>
      </c>
      <c r="M312" s="422">
        <v>0</v>
      </c>
      <c r="N312" s="423">
        <v>7529454</v>
      </c>
      <c r="O312" s="422">
        <v>0</v>
      </c>
      <c r="P312" s="423">
        <v>0</v>
      </c>
    </row>
    <row r="313" spans="1:16" ht="12.75">
      <c r="A313" s="380" t="s">
        <v>103</v>
      </c>
      <c r="B313" s="381" t="s">
        <v>135</v>
      </c>
      <c r="C313" s="382" t="s">
        <v>99</v>
      </c>
      <c r="D313" s="198"/>
      <c r="E313" s="198"/>
      <c r="F313" s="199"/>
      <c r="G313" s="126"/>
      <c r="H313" s="126"/>
      <c r="I313" s="199"/>
      <c r="J313" s="183"/>
      <c r="K313" s="390"/>
      <c r="L313" s="154" t="e">
        <f>L314+L329+#REF!</f>
        <v>#REF!</v>
      </c>
      <c r="M313" s="72" t="e">
        <f>M314+M329+#REF!</f>
        <v>#REF!</v>
      </c>
      <c r="N313" s="73">
        <f>N314+N329</f>
        <v>560000</v>
      </c>
      <c r="O313" s="72">
        <f>O314+O329</f>
        <v>1136215</v>
      </c>
      <c r="P313" s="73">
        <f>P314+P329</f>
        <v>1136215</v>
      </c>
    </row>
    <row r="314" spans="1:16" s="386" customFormat="1" ht="12.75">
      <c r="A314" s="380" t="s">
        <v>221</v>
      </c>
      <c r="B314" s="432">
        <v>331</v>
      </c>
      <c r="C314" s="396" t="s">
        <v>99</v>
      </c>
      <c r="D314" s="158" t="s">
        <v>99</v>
      </c>
      <c r="E314" s="158"/>
      <c r="F314" s="159"/>
      <c r="G314" s="126"/>
      <c r="H314" s="126"/>
      <c r="I314" s="159"/>
      <c r="J314" s="398"/>
      <c r="K314" s="399"/>
      <c r="L314" s="279">
        <f>L315+L324</f>
        <v>537600</v>
      </c>
      <c r="M314" s="387">
        <f>M315+M324</f>
        <v>0</v>
      </c>
      <c r="N314" s="388">
        <f>N315+N324</f>
        <v>475000</v>
      </c>
      <c r="O314" s="387">
        <f>O315+O324</f>
        <v>976215</v>
      </c>
      <c r="P314" s="388">
        <f>P315+P324</f>
        <v>976215</v>
      </c>
    </row>
    <row r="315" spans="1:16" s="386" customFormat="1" ht="21.75" customHeight="1">
      <c r="A315" s="449" t="s">
        <v>376</v>
      </c>
      <c r="B315" s="432">
        <v>331</v>
      </c>
      <c r="C315" s="396" t="s">
        <v>99</v>
      </c>
      <c r="D315" s="158" t="s">
        <v>99</v>
      </c>
      <c r="E315" s="152" t="s">
        <v>95</v>
      </c>
      <c r="F315" s="153" t="s">
        <v>168</v>
      </c>
      <c r="G315" s="126" t="s">
        <v>168</v>
      </c>
      <c r="H315" s="126" t="s">
        <v>168</v>
      </c>
      <c r="I315" s="153" t="s">
        <v>169</v>
      </c>
      <c r="J315" s="128" t="s">
        <v>168</v>
      </c>
      <c r="K315" s="400"/>
      <c r="L315" s="154">
        <f>L316</f>
        <v>437600</v>
      </c>
      <c r="M315" s="72">
        <f>M316</f>
        <v>0</v>
      </c>
      <c r="N315" s="73">
        <f>N316</f>
        <v>395000</v>
      </c>
      <c r="O315" s="72">
        <f>O316</f>
        <v>896215</v>
      </c>
      <c r="P315" s="73">
        <f>P316</f>
        <v>896215</v>
      </c>
    </row>
    <row r="316" spans="1:16" s="386" customFormat="1" ht="12.75">
      <c r="A316" s="380" t="s">
        <v>19</v>
      </c>
      <c r="B316" s="432">
        <v>331</v>
      </c>
      <c r="C316" s="396" t="s">
        <v>99</v>
      </c>
      <c r="D316" s="158" t="s">
        <v>99</v>
      </c>
      <c r="E316" s="124" t="s">
        <v>95</v>
      </c>
      <c r="F316" s="126" t="s">
        <v>168</v>
      </c>
      <c r="G316" s="126" t="s">
        <v>168</v>
      </c>
      <c r="H316" s="126" t="s">
        <v>168</v>
      </c>
      <c r="I316" s="126" t="s">
        <v>22</v>
      </c>
      <c r="J316" s="128" t="s">
        <v>168</v>
      </c>
      <c r="K316" s="390"/>
      <c r="L316" s="154">
        <f>L317+L319+L321</f>
        <v>437600</v>
      </c>
      <c r="M316" s="72">
        <f>M317+M319+M321</f>
        <v>0</v>
      </c>
      <c r="N316" s="73">
        <f>N317+N319+N321</f>
        <v>395000</v>
      </c>
      <c r="O316" s="72">
        <f>O317+O319+O321</f>
        <v>896215</v>
      </c>
      <c r="P316" s="73">
        <f>P317+P319+P321</f>
        <v>896215</v>
      </c>
    </row>
    <row r="317" spans="1:16" s="386" customFormat="1" ht="25.5">
      <c r="A317" s="389" t="s">
        <v>73</v>
      </c>
      <c r="B317" s="432">
        <v>331</v>
      </c>
      <c r="C317" s="396" t="s">
        <v>99</v>
      </c>
      <c r="D317" s="158" t="s">
        <v>99</v>
      </c>
      <c r="E317" s="124" t="s">
        <v>95</v>
      </c>
      <c r="F317" s="126" t="s">
        <v>168</v>
      </c>
      <c r="G317" s="126" t="s">
        <v>168</v>
      </c>
      <c r="H317" s="126" t="s">
        <v>168</v>
      </c>
      <c r="I317" s="126" t="s">
        <v>22</v>
      </c>
      <c r="J317" s="128" t="s">
        <v>168</v>
      </c>
      <c r="K317" s="390" t="s">
        <v>74</v>
      </c>
      <c r="L317" s="154">
        <f>L318</f>
        <v>308600</v>
      </c>
      <c r="M317" s="72">
        <f>M318</f>
        <v>0</v>
      </c>
      <c r="N317" s="73">
        <f>N318</f>
        <v>166000</v>
      </c>
      <c r="O317" s="72">
        <f>O318</f>
        <v>587215</v>
      </c>
      <c r="P317" s="73">
        <f>P318</f>
        <v>587215</v>
      </c>
    </row>
    <row r="318" spans="1:16" s="386" customFormat="1" ht="25.5">
      <c r="A318" s="389" t="s">
        <v>75</v>
      </c>
      <c r="B318" s="432">
        <v>331</v>
      </c>
      <c r="C318" s="396" t="s">
        <v>99</v>
      </c>
      <c r="D318" s="158" t="s">
        <v>99</v>
      </c>
      <c r="E318" s="124" t="s">
        <v>95</v>
      </c>
      <c r="F318" s="126" t="s">
        <v>168</v>
      </c>
      <c r="G318" s="126" t="s">
        <v>168</v>
      </c>
      <c r="H318" s="126" t="s">
        <v>168</v>
      </c>
      <c r="I318" s="126" t="s">
        <v>22</v>
      </c>
      <c r="J318" s="128" t="s">
        <v>168</v>
      </c>
      <c r="K318" s="390" t="s">
        <v>76</v>
      </c>
      <c r="L318" s="154">
        <v>308600</v>
      </c>
      <c r="M318" s="72">
        <v>0</v>
      </c>
      <c r="N318" s="73">
        <v>166000</v>
      </c>
      <c r="O318" s="72">
        <v>587215</v>
      </c>
      <c r="P318" s="73">
        <v>587215</v>
      </c>
    </row>
    <row r="319" spans="1:16" s="386" customFormat="1" ht="15" customHeight="1">
      <c r="A319" s="450" t="s">
        <v>188</v>
      </c>
      <c r="B319" s="432">
        <v>331</v>
      </c>
      <c r="C319" s="396" t="s">
        <v>99</v>
      </c>
      <c r="D319" s="158" t="s">
        <v>99</v>
      </c>
      <c r="E319" s="124" t="s">
        <v>95</v>
      </c>
      <c r="F319" s="126" t="s">
        <v>168</v>
      </c>
      <c r="G319" s="126" t="s">
        <v>168</v>
      </c>
      <c r="H319" s="126" t="s">
        <v>168</v>
      </c>
      <c r="I319" s="126" t="s">
        <v>22</v>
      </c>
      <c r="J319" s="128" t="s">
        <v>168</v>
      </c>
      <c r="K319" s="399" t="s">
        <v>78</v>
      </c>
      <c r="L319" s="154">
        <f>L320</f>
        <v>19000</v>
      </c>
      <c r="M319" s="72">
        <f>M320</f>
        <v>0</v>
      </c>
      <c r="N319" s="73">
        <f>N320</f>
        <v>4000</v>
      </c>
      <c r="O319" s="72">
        <f>O320</f>
        <v>19000</v>
      </c>
      <c r="P319" s="73">
        <f>P320</f>
        <v>19000</v>
      </c>
    </row>
    <row r="320" spans="1:16" s="386" customFormat="1" ht="12.75">
      <c r="A320" s="389" t="s">
        <v>189</v>
      </c>
      <c r="B320" s="432">
        <v>331</v>
      </c>
      <c r="C320" s="396" t="s">
        <v>99</v>
      </c>
      <c r="D320" s="158" t="s">
        <v>99</v>
      </c>
      <c r="E320" s="124" t="s">
        <v>95</v>
      </c>
      <c r="F320" s="126" t="s">
        <v>168</v>
      </c>
      <c r="G320" s="126" t="s">
        <v>168</v>
      </c>
      <c r="H320" s="126" t="s">
        <v>168</v>
      </c>
      <c r="I320" s="126" t="s">
        <v>22</v>
      </c>
      <c r="J320" s="128" t="s">
        <v>168</v>
      </c>
      <c r="K320" s="399" t="s">
        <v>187</v>
      </c>
      <c r="L320" s="154">
        <v>19000</v>
      </c>
      <c r="M320" s="72">
        <v>0</v>
      </c>
      <c r="N320" s="73">
        <v>4000</v>
      </c>
      <c r="O320" s="72">
        <v>19000</v>
      </c>
      <c r="P320" s="73">
        <v>19000</v>
      </c>
    </row>
    <row r="321" spans="1:16" s="386" customFormat="1" ht="33.75" customHeight="1">
      <c r="A321" s="389" t="s">
        <v>29</v>
      </c>
      <c r="B321" s="432">
        <v>331</v>
      </c>
      <c r="C321" s="396" t="s">
        <v>99</v>
      </c>
      <c r="D321" s="158" t="s">
        <v>99</v>
      </c>
      <c r="E321" s="124" t="s">
        <v>95</v>
      </c>
      <c r="F321" s="126" t="s">
        <v>168</v>
      </c>
      <c r="G321" s="126" t="s">
        <v>168</v>
      </c>
      <c r="H321" s="126" t="s">
        <v>168</v>
      </c>
      <c r="I321" s="126" t="s">
        <v>22</v>
      </c>
      <c r="J321" s="128" t="s">
        <v>168</v>
      </c>
      <c r="K321" s="390" t="s">
        <v>182</v>
      </c>
      <c r="L321" s="154">
        <f>L322+L323</f>
        <v>110000</v>
      </c>
      <c r="M321" s="72">
        <f>M322+M323</f>
        <v>0</v>
      </c>
      <c r="N321" s="73">
        <f>N322+N323</f>
        <v>225000</v>
      </c>
      <c r="O321" s="72">
        <f>O322+O323</f>
        <v>290000</v>
      </c>
      <c r="P321" s="73">
        <f>P322+P323</f>
        <v>290000</v>
      </c>
    </row>
    <row r="322" spans="1:16" s="386" customFormat="1" ht="20.25" customHeight="1">
      <c r="A322" s="389" t="s">
        <v>30</v>
      </c>
      <c r="B322" s="432">
        <v>331</v>
      </c>
      <c r="C322" s="396" t="s">
        <v>99</v>
      </c>
      <c r="D322" s="158" t="s">
        <v>99</v>
      </c>
      <c r="E322" s="124" t="s">
        <v>95</v>
      </c>
      <c r="F322" s="126" t="s">
        <v>168</v>
      </c>
      <c r="G322" s="126" t="s">
        <v>168</v>
      </c>
      <c r="H322" s="126" t="s">
        <v>168</v>
      </c>
      <c r="I322" s="126" t="s">
        <v>22</v>
      </c>
      <c r="J322" s="128" t="s">
        <v>168</v>
      </c>
      <c r="K322" s="390" t="s">
        <v>31</v>
      </c>
      <c r="L322" s="154">
        <v>55000</v>
      </c>
      <c r="M322" s="72">
        <v>0</v>
      </c>
      <c r="N322" s="73">
        <v>202500</v>
      </c>
      <c r="O322" s="72">
        <v>200000</v>
      </c>
      <c r="P322" s="73">
        <v>200000</v>
      </c>
    </row>
    <row r="323" spans="1:16" s="386" customFormat="1" ht="38.25" customHeight="1">
      <c r="A323" s="459" t="s">
        <v>265</v>
      </c>
      <c r="B323" s="432">
        <v>331</v>
      </c>
      <c r="C323" s="396" t="s">
        <v>99</v>
      </c>
      <c r="D323" s="158" t="s">
        <v>99</v>
      </c>
      <c r="E323" s="124" t="s">
        <v>95</v>
      </c>
      <c r="F323" s="126" t="s">
        <v>168</v>
      </c>
      <c r="G323" s="126" t="s">
        <v>168</v>
      </c>
      <c r="H323" s="126" t="s">
        <v>168</v>
      </c>
      <c r="I323" s="126" t="s">
        <v>22</v>
      </c>
      <c r="J323" s="128" t="s">
        <v>168</v>
      </c>
      <c r="K323" s="390" t="s">
        <v>193</v>
      </c>
      <c r="L323" s="154">
        <v>55000</v>
      </c>
      <c r="M323" s="72">
        <v>0</v>
      </c>
      <c r="N323" s="73">
        <v>22500</v>
      </c>
      <c r="O323" s="72">
        <v>90000</v>
      </c>
      <c r="P323" s="73">
        <v>90000</v>
      </c>
    </row>
    <row r="324" spans="1:16" s="386" customFormat="1" ht="38.25">
      <c r="A324" s="449" t="s">
        <v>369</v>
      </c>
      <c r="B324" s="432">
        <v>331</v>
      </c>
      <c r="C324" s="396" t="s">
        <v>99</v>
      </c>
      <c r="D324" s="158" t="s">
        <v>99</v>
      </c>
      <c r="E324" s="152" t="s">
        <v>99</v>
      </c>
      <c r="F324" s="153" t="s">
        <v>168</v>
      </c>
      <c r="G324" s="126" t="s">
        <v>168</v>
      </c>
      <c r="H324" s="126" t="s">
        <v>168</v>
      </c>
      <c r="I324" s="153" t="s">
        <v>169</v>
      </c>
      <c r="J324" s="128" t="s">
        <v>168</v>
      </c>
      <c r="K324" s="400"/>
      <c r="L324" s="154">
        <f>L325</f>
        <v>100000</v>
      </c>
      <c r="M324" s="72">
        <f>M325</f>
        <v>0</v>
      </c>
      <c r="N324" s="73">
        <f>N325</f>
        <v>80000</v>
      </c>
      <c r="O324" s="72">
        <f>O325</f>
        <v>80000</v>
      </c>
      <c r="P324" s="73">
        <f>P325</f>
        <v>80000</v>
      </c>
    </row>
    <row r="325" spans="1:16" s="386" customFormat="1" ht="25.5">
      <c r="A325" s="401" t="s">
        <v>370</v>
      </c>
      <c r="B325" s="432">
        <v>331</v>
      </c>
      <c r="C325" s="396" t="s">
        <v>99</v>
      </c>
      <c r="D325" s="158" t="s">
        <v>99</v>
      </c>
      <c r="E325" s="158" t="s">
        <v>99</v>
      </c>
      <c r="F325" s="159" t="s">
        <v>166</v>
      </c>
      <c r="G325" s="126" t="s">
        <v>168</v>
      </c>
      <c r="H325" s="126" t="s">
        <v>168</v>
      </c>
      <c r="I325" s="159" t="s">
        <v>169</v>
      </c>
      <c r="J325" s="128" t="s">
        <v>168</v>
      </c>
      <c r="K325" s="399"/>
      <c r="L325" s="279">
        <f aca="true" t="shared" si="68" ref="L325:N327">L326</f>
        <v>100000</v>
      </c>
      <c r="M325" s="387">
        <f t="shared" si="68"/>
        <v>0</v>
      </c>
      <c r="N325" s="388">
        <f t="shared" si="68"/>
        <v>80000</v>
      </c>
      <c r="O325" s="387">
        <f aca="true" t="shared" si="69" ref="O325:P327">O326</f>
        <v>80000</v>
      </c>
      <c r="P325" s="388">
        <f t="shared" si="69"/>
        <v>80000</v>
      </c>
    </row>
    <row r="326" spans="1:16" s="419" customFormat="1" ht="12.75">
      <c r="A326" s="389" t="s">
        <v>286</v>
      </c>
      <c r="B326" s="381" t="s">
        <v>135</v>
      </c>
      <c r="C326" s="382" t="s">
        <v>99</v>
      </c>
      <c r="D326" s="199" t="s">
        <v>99</v>
      </c>
      <c r="E326" s="158" t="s">
        <v>99</v>
      </c>
      <c r="F326" s="159" t="s">
        <v>166</v>
      </c>
      <c r="G326" s="126" t="s">
        <v>168</v>
      </c>
      <c r="H326" s="126" t="s">
        <v>168</v>
      </c>
      <c r="I326" s="159" t="s">
        <v>22</v>
      </c>
      <c r="J326" s="128" t="s">
        <v>168</v>
      </c>
      <c r="K326" s="399"/>
      <c r="L326" s="279">
        <f t="shared" si="68"/>
        <v>100000</v>
      </c>
      <c r="M326" s="387">
        <f t="shared" si="68"/>
        <v>0</v>
      </c>
      <c r="N326" s="388">
        <f t="shared" si="68"/>
        <v>80000</v>
      </c>
      <c r="O326" s="387">
        <f t="shared" si="69"/>
        <v>80000</v>
      </c>
      <c r="P326" s="388">
        <f t="shared" si="69"/>
        <v>80000</v>
      </c>
    </row>
    <row r="327" spans="1:16" s="419" customFormat="1" ht="25.5">
      <c r="A327" s="389" t="s">
        <v>29</v>
      </c>
      <c r="B327" s="381" t="s">
        <v>135</v>
      </c>
      <c r="C327" s="382" t="s">
        <v>99</v>
      </c>
      <c r="D327" s="199" t="s">
        <v>99</v>
      </c>
      <c r="E327" s="158" t="s">
        <v>99</v>
      </c>
      <c r="F327" s="159" t="s">
        <v>166</v>
      </c>
      <c r="G327" s="126" t="s">
        <v>168</v>
      </c>
      <c r="H327" s="126" t="s">
        <v>168</v>
      </c>
      <c r="I327" s="159" t="s">
        <v>22</v>
      </c>
      <c r="J327" s="128" t="s">
        <v>168</v>
      </c>
      <c r="K327" s="399" t="s">
        <v>182</v>
      </c>
      <c r="L327" s="279">
        <f t="shared" si="68"/>
        <v>100000</v>
      </c>
      <c r="M327" s="387">
        <f t="shared" si="68"/>
        <v>0</v>
      </c>
      <c r="N327" s="388">
        <f t="shared" si="68"/>
        <v>80000</v>
      </c>
      <c r="O327" s="387">
        <f t="shared" si="69"/>
        <v>80000</v>
      </c>
      <c r="P327" s="388">
        <f t="shared" si="69"/>
        <v>80000</v>
      </c>
    </row>
    <row r="328" spans="1:16" s="419" customFormat="1" ht="12.75">
      <c r="A328" s="389" t="s">
        <v>30</v>
      </c>
      <c r="B328" s="381" t="s">
        <v>135</v>
      </c>
      <c r="C328" s="382" t="s">
        <v>99</v>
      </c>
      <c r="D328" s="199" t="s">
        <v>99</v>
      </c>
      <c r="E328" s="158" t="s">
        <v>99</v>
      </c>
      <c r="F328" s="159" t="s">
        <v>166</v>
      </c>
      <c r="G328" s="126" t="s">
        <v>168</v>
      </c>
      <c r="H328" s="126" t="s">
        <v>168</v>
      </c>
      <c r="I328" s="159" t="s">
        <v>22</v>
      </c>
      <c r="J328" s="128" t="s">
        <v>168</v>
      </c>
      <c r="K328" s="399" t="s">
        <v>31</v>
      </c>
      <c r="L328" s="279">
        <v>100000</v>
      </c>
      <c r="M328" s="387">
        <v>0</v>
      </c>
      <c r="N328" s="388">
        <v>80000</v>
      </c>
      <c r="O328" s="387">
        <v>80000</v>
      </c>
      <c r="P328" s="388">
        <v>80000</v>
      </c>
    </row>
    <row r="329" spans="1:16" s="419" customFormat="1" ht="12.75">
      <c r="A329" s="380" t="s">
        <v>116</v>
      </c>
      <c r="B329" s="432">
        <v>331</v>
      </c>
      <c r="C329" s="396" t="s">
        <v>99</v>
      </c>
      <c r="D329" s="158" t="s">
        <v>111</v>
      </c>
      <c r="E329" s="158"/>
      <c r="F329" s="159"/>
      <c r="G329" s="126"/>
      <c r="H329" s="126"/>
      <c r="I329" s="159"/>
      <c r="J329" s="398"/>
      <c r="K329" s="399"/>
      <c r="L329" s="279">
        <f aca="true" t="shared" si="70" ref="L329:N332">L330</f>
        <v>160000</v>
      </c>
      <c r="M329" s="387">
        <f t="shared" si="70"/>
        <v>0</v>
      </c>
      <c r="N329" s="388">
        <f t="shared" si="70"/>
        <v>85000</v>
      </c>
      <c r="O329" s="387">
        <f aca="true" t="shared" si="71" ref="O329:P332">O330</f>
        <v>160000</v>
      </c>
      <c r="P329" s="388">
        <f t="shared" si="71"/>
        <v>160000</v>
      </c>
    </row>
    <row r="330" spans="1:16" s="419" customFormat="1" ht="25.5">
      <c r="A330" s="449" t="s">
        <v>376</v>
      </c>
      <c r="B330" s="432">
        <v>331</v>
      </c>
      <c r="C330" s="396" t="s">
        <v>99</v>
      </c>
      <c r="D330" s="158" t="s">
        <v>111</v>
      </c>
      <c r="E330" s="152" t="s">
        <v>95</v>
      </c>
      <c r="F330" s="153" t="s">
        <v>168</v>
      </c>
      <c r="G330" s="126" t="s">
        <v>168</v>
      </c>
      <c r="H330" s="126" t="s">
        <v>168</v>
      </c>
      <c r="I330" s="153" t="s">
        <v>169</v>
      </c>
      <c r="J330" s="128" t="s">
        <v>168</v>
      </c>
      <c r="K330" s="400"/>
      <c r="L330" s="279">
        <f t="shared" si="70"/>
        <v>160000</v>
      </c>
      <c r="M330" s="387">
        <f t="shared" si="70"/>
        <v>0</v>
      </c>
      <c r="N330" s="388">
        <f t="shared" si="70"/>
        <v>85000</v>
      </c>
      <c r="O330" s="387">
        <f t="shared" si="71"/>
        <v>160000</v>
      </c>
      <c r="P330" s="388">
        <f t="shared" si="71"/>
        <v>160000</v>
      </c>
    </row>
    <row r="331" spans="1:16" s="419" customFormat="1" ht="12.75">
      <c r="A331" s="380" t="s">
        <v>19</v>
      </c>
      <c r="B331" s="432">
        <v>331</v>
      </c>
      <c r="C331" s="396" t="s">
        <v>99</v>
      </c>
      <c r="D331" s="158" t="s">
        <v>111</v>
      </c>
      <c r="E331" s="124" t="s">
        <v>95</v>
      </c>
      <c r="F331" s="126" t="s">
        <v>168</v>
      </c>
      <c r="G331" s="126" t="s">
        <v>168</v>
      </c>
      <c r="H331" s="126" t="s">
        <v>168</v>
      </c>
      <c r="I331" s="126" t="s">
        <v>22</v>
      </c>
      <c r="J331" s="128" t="s">
        <v>168</v>
      </c>
      <c r="K331" s="390"/>
      <c r="L331" s="279">
        <f t="shared" si="70"/>
        <v>160000</v>
      </c>
      <c r="M331" s="387">
        <f t="shared" si="70"/>
        <v>0</v>
      </c>
      <c r="N331" s="388">
        <f t="shared" si="70"/>
        <v>85000</v>
      </c>
      <c r="O331" s="387">
        <f t="shared" si="71"/>
        <v>160000</v>
      </c>
      <c r="P331" s="388">
        <f t="shared" si="71"/>
        <v>160000</v>
      </c>
    </row>
    <row r="332" spans="1:16" s="419" customFormat="1" ht="51">
      <c r="A332" s="389" t="s">
        <v>92</v>
      </c>
      <c r="B332" s="432">
        <v>331</v>
      </c>
      <c r="C332" s="396" t="s">
        <v>99</v>
      </c>
      <c r="D332" s="158" t="s">
        <v>111</v>
      </c>
      <c r="E332" s="124" t="s">
        <v>95</v>
      </c>
      <c r="F332" s="126" t="s">
        <v>168</v>
      </c>
      <c r="G332" s="126" t="s">
        <v>168</v>
      </c>
      <c r="H332" s="126" t="s">
        <v>168</v>
      </c>
      <c r="I332" s="126" t="s">
        <v>22</v>
      </c>
      <c r="J332" s="128" t="s">
        <v>168</v>
      </c>
      <c r="K332" s="390" t="s">
        <v>81</v>
      </c>
      <c r="L332" s="279">
        <f t="shared" si="70"/>
        <v>160000</v>
      </c>
      <c r="M332" s="387">
        <f t="shared" si="70"/>
        <v>0</v>
      </c>
      <c r="N332" s="388">
        <f t="shared" si="70"/>
        <v>85000</v>
      </c>
      <c r="O332" s="387">
        <f t="shared" si="71"/>
        <v>160000</v>
      </c>
      <c r="P332" s="388">
        <f t="shared" si="71"/>
        <v>160000</v>
      </c>
    </row>
    <row r="333" spans="1:16" s="419" customFormat="1" ht="25.5">
      <c r="A333" s="389" t="s">
        <v>82</v>
      </c>
      <c r="B333" s="432">
        <v>331</v>
      </c>
      <c r="C333" s="396" t="s">
        <v>99</v>
      </c>
      <c r="D333" s="158" t="s">
        <v>111</v>
      </c>
      <c r="E333" s="124" t="s">
        <v>95</v>
      </c>
      <c r="F333" s="126" t="s">
        <v>168</v>
      </c>
      <c r="G333" s="126" t="s">
        <v>168</v>
      </c>
      <c r="H333" s="126" t="s">
        <v>168</v>
      </c>
      <c r="I333" s="126" t="s">
        <v>22</v>
      </c>
      <c r="J333" s="128" t="s">
        <v>168</v>
      </c>
      <c r="K333" s="390" t="s">
        <v>212</v>
      </c>
      <c r="L333" s="279">
        <v>160000</v>
      </c>
      <c r="M333" s="387">
        <v>0</v>
      </c>
      <c r="N333" s="388">
        <v>85000</v>
      </c>
      <c r="O333" s="387">
        <v>160000</v>
      </c>
      <c r="P333" s="388">
        <v>160000</v>
      </c>
    </row>
    <row r="334" spans="1:16" s="419" customFormat="1" ht="12.75">
      <c r="A334" s="380" t="s">
        <v>54</v>
      </c>
      <c r="B334" s="381" t="s">
        <v>135</v>
      </c>
      <c r="C334" s="382" t="s">
        <v>100</v>
      </c>
      <c r="D334" s="198"/>
      <c r="E334" s="158"/>
      <c r="F334" s="159"/>
      <c r="G334" s="126"/>
      <c r="H334" s="126"/>
      <c r="I334" s="159"/>
      <c r="J334" s="398"/>
      <c r="K334" s="399"/>
      <c r="L334" s="279">
        <f aca="true" t="shared" si="72" ref="L334:N337">L335</f>
        <v>115600</v>
      </c>
      <c r="M334" s="387">
        <f t="shared" si="72"/>
        <v>0</v>
      </c>
      <c r="N334" s="388">
        <f t="shared" si="72"/>
        <v>115600</v>
      </c>
      <c r="O334" s="387">
        <f aca="true" t="shared" si="73" ref="O334:P337">O335</f>
        <v>139500</v>
      </c>
      <c r="P334" s="388">
        <f t="shared" si="73"/>
        <v>139500</v>
      </c>
    </row>
    <row r="335" spans="1:16" s="419" customFormat="1" ht="12.75">
      <c r="A335" s="380" t="s">
        <v>117</v>
      </c>
      <c r="B335" s="381" t="s">
        <v>135</v>
      </c>
      <c r="C335" s="382" t="s">
        <v>100</v>
      </c>
      <c r="D335" s="198" t="s">
        <v>94</v>
      </c>
      <c r="E335" s="158"/>
      <c r="F335" s="159"/>
      <c r="G335" s="126"/>
      <c r="H335" s="126"/>
      <c r="I335" s="159"/>
      <c r="J335" s="398"/>
      <c r="K335" s="399"/>
      <c r="L335" s="279">
        <f t="shared" si="72"/>
        <v>115600</v>
      </c>
      <c r="M335" s="387">
        <f t="shared" si="72"/>
        <v>0</v>
      </c>
      <c r="N335" s="388">
        <f t="shared" si="72"/>
        <v>115600</v>
      </c>
      <c r="O335" s="387">
        <f t="shared" si="73"/>
        <v>139500</v>
      </c>
      <c r="P335" s="388">
        <f t="shared" si="73"/>
        <v>139500</v>
      </c>
    </row>
    <row r="336" spans="1:16" ht="25.5">
      <c r="A336" s="389" t="s">
        <v>368</v>
      </c>
      <c r="B336" s="381" t="s">
        <v>135</v>
      </c>
      <c r="C336" s="382" t="s">
        <v>100</v>
      </c>
      <c r="D336" s="198" t="s">
        <v>94</v>
      </c>
      <c r="E336" s="152" t="s">
        <v>94</v>
      </c>
      <c r="F336" s="153" t="s">
        <v>168</v>
      </c>
      <c r="G336" s="126" t="s">
        <v>168</v>
      </c>
      <c r="H336" s="126" t="s">
        <v>168</v>
      </c>
      <c r="I336" s="153" t="s">
        <v>169</v>
      </c>
      <c r="J336" s="128" t="s">
        <v>168</v>
      </c>
      <c r="K336" s="400"/>
      <c r="L336" s="154">
        <f t="shared" si="72"/>
        <v>115600</v>
      </c>
      <c r="M336" s="72">
        <f t="shared" si="72"/>
        <v>0</v>
      </c>
      <c r="N336" s="73">
        <f t="shared" si="72"/>
        <v>115600</v>
      </c>
      <c r="O336" s="72">
        <f t="shared" si="73"/>
        <v>139500</v>
      </c>
      <c r="P336" s="73">
        <f t="shared" si="73"/>
        <v>139500</v>
      </c>
    </row>
    <row r="337" spans="1:16" ht="25.5">
      <c r="A337" s="449" t="s">
        <v>17</v>
      </c>
      <c r="B337" s="381" t="s">
        <v>135</v>
      </c>
      <c r="C337" s="382" t="s">
        <v>100</v>
      </c>
      <c r="D337" s="198" t="s">
        <v>94</v>
      </c>
      <c r="E337" s="152" t="s">
        <v>94</v>
      </c>
      <c r="F337" s="153" t="s">
        <v>170</v>
      </c>
      <c r="G337" s="126" t="s">
        <v>168</v>
      </c>
      <c r="H337" s="126" t="s">
        <v>168</v>
      </c>
      <c r="I337" s="153" t="s">
        <v>169</v>
      </c>
      <c r="J337" s="128" t="s">
        <v>168</v>
      </c>
      <c r="K337" s="400"/>
      <c r="L337" s="154">
        <f t="shared" si="72"/>
        <v>115600</v>
      </c>
      <c r="M337" s="72">
        <f t="shared" si="72"/>
        <v>0</v>
      </c>
      <c r="N337" s="73">
        <f t="shared" si="72"/>
        <v>115600</v>
      </c>
      <c r="O337" s="72">
        <f t="shared" si="73"/>
        <v>139500</v>
      </c>
      <c r="P337" s="73">
        <f t="shared" si="73"/>
        <v>139500</v>
      </c>
    </row>
    <row r="338" spans="1:16" s="419" customFormat="1" ht="12.75">
      <c r="A338" s="389" t="s">
        <v>18</v>
      </c>
      <c r="B338" s="381" t="s">
        <v>135</v>
      </c>
      <c r="C338" s="382" t="s">
        <v>100</v>
      </c>
      <c r="D338" s="198" t="s">
        <v>94</v>
      </c>
      <c r="E338" s="152" t="s">
        <v>94</v>
      </c>
      <c r="F338" s="153" t="s">
        <v>170</v>
      </c>
      <c r="G338" s="126" t="s">
        <v>168</v>
      </c>
      <c r="H338" s="126" t="s">
        <v>168</v>
      </c>
      <c r="I338" s="153" t="s">
        <v>20</v>
      </c>
      <c r="J338" s="128" t="s">
        <v>168</v>
      </c>
      <c r="K338" s="400"/>
      <c r="L338" s="154">
        <f>L339+L341</f>
        <v>115600</v>
      </c>
      <c r="M338" s="72">
        <f>M339+M341</f>
        <v>0</v>
      </c>
      <c r="N338" s="73">
        <f>N339+N341</f>
        <v>115600</v>
      </c>
      <c r="O338" s="72">
        <f>O339+O341</f>
        <v>139500</v>
      </c>
      <c r="P338" s="73">
        <f>P339+P341</f>
        <v>139500</v>
      </c>
    </row>
    <row r="339" spans="1:16" s="419" customFormat="1" ht="25.5">
      <c r="A339" s="389" t="s">
        <v>73</v>
      </c>
      <c r="B339" s="381" t="s">
        <v>135</v>
      </c>
      <c r="C339" s="382" t="s">
        <v>100</v>
      </c>
      <c r="D339" s="198" t="s">
        <v>94</v>
      </c>
      <c r="E339" s="124" t="s">
        <v>94</v>
      </c>
      <c r="F339" s="126" t="s">
        <v>170</v>
      </c>
      <c r="G339" s="126" t="s">
        <v>168</v>
      </c>
      <c r="H339" s="126" t="s">
        <v>168</v>
      </c>
      <c r="I339" s="153" t="s">
        <v>20</v>
      </c>
      <c r="J339" s="128" t="s">
        <v>168</v>
      </c>
      <c r="K339" s="390" t="s">
        <v>74</v>
      </c>
      <c r="L339" s="279">
        <f>L340</f>
        <v>115600</v>
      </c>
      <c r="M339" s="387">
        <f>M340</f>
        <v>0</v>
      </c>
      <c r="N339" s="388">
        <f>N340</f>
        <v>115600</v>
      </c>
      <c r="O339" s="387">
        <f>O340</f>
        <v>139500</v>
      </c>
      <c r="P339" s="388">
        <f>P340</f>
        <v>139500</v>
      </c>
    </row>
    <row r="340" spans="1:16" s="419" customFormat="1" ht="25.5">
      <c r="A340" s="389" t="s">
        <v>75</v>
      </c>
      <c r="B340" s="381" t="s">
        <v>135</v>
      </c>
      <c r="C340" s="382" t="s">
        <v>100</v>
      </c>
      <c r="D340" s="198" t="s">
        <v>94</v>
      </c>
      <c r="E340" s="124" t="s">
        <v>94</v>
      </c>
      <c r="F340" s="126" t="s">
        <v>170</v>
      </c>
      <c r="G340" s="126" t="s">
        <v>168</v>
      </c>
      <c r="H340" s="126" t="s">
        <v>168</v>
      </c>
      <c r="I340" s="153" t="s">
        <v>20</v>
      </c>
      <c r="J340" s="128" t="s">
        <v>168</v>
      </c>
      <c r="K340" s="390" t="s">
        <v>76</v>
      </c>
      <c r="L340" s="279">
        <v>115600</v>
      </c>
      <c r="M340" s="387">
        <v>0</v>
      </c>
      <c r="N340" s="388">
        <v>115600</v>
      </c>
      <c r="O340" s="387">
        <v>139500</v>
      </c>
      <c r="P340" s="388">
        <v>139500</v>
      </c>
    </row>
    <row r="341" spans="1:16" s="419" customFormat="1" ht="15" customHeight="1" hidden="1">
      <c r="A341" s="450" t="s">
        <v>188</v>
      </c>
      <c r="B341" s="381" t="s">
        <v>135</v>
      </c>
      <c r="C341" s="382" t="s">
        <v>100</v>
      </c>
      <c r="D341" s="198" t="s">
        <v>94</v>
      </c>
      <c r="E341" s="124" t="s">
        <v>94</v>
      </c>
      <c r="F341" s="126" t="s">
        <v>170</v>
      </c>
      <c r="G341" s="126" t="s">
        <v>168</v>
      </c>
      <c r="H341" s="126" t="s">
        <v>168</v>
      </c>
      <c r="I341" s="153" t="s">
        <v>20</v>
      </c>
      <c r="J341" s="128" t="s">
        <v>168</v>
      </c>
      <c r="K341" s="399" t="s">
        <v>78</v>
      </c>
      <c r="L341" s="279">
        <f>L342</f>
        <v>0</v>
      </c>
      <c r="M341" s="387">
        <f>M342</f>
        <v>0</v>
      </c>
      <c r="N341" s="388">
        <f>N342</f>
        <v>0</v>
      </c>
      <c r="O341" s="387">
        <f>O342</f>
        <v>0</v>
      </c>
      <c r="P341" s="388">
        <f>P342</f>
        <v>0</v>
      </c>
    </row>
    <row r="342" spans="1:16" s="419" customFormat="1" ht="17.25" customHeight="1" hidden="1">
      <c r="A342" s="389" t="s">
        <v>189</v>
      </c>
      <c r="B342" s="381" t="s">
        <v>135</v>
      </c>
      <c r="C342" s="382" t="s">
        <v>100</v>
      </c>
      <c r="D342" s="198" t="s">
        <v>94</v>
      </c>
      <c r="E342" s="124" t="s">
        <v>94</v>
      </c>
      <c r="F342" s="126" t="s">
        <v>170</v>
      </c>
      <c r="G342" s="126" t="s">
        <v>168</v>
      </c>
      <c r="H342" s="126" t="s">
        <v>168</v>
      </c>
      <c r="I342" s="153" t="s">
        <v>20</v>
      </c>
      <c r="J342" s="128" t="s">
        <v>168</v>
      </c>
      <c r="K342" s="399" t="s">
        <v>187</v>
      </c>
      <c r="L342" s="279">
        <v>0</v>
      </c>
      <c r="M342" s="387">
        <v>0</v>
      </c>
      <c r="N342" s="388">
        <v>0</v>
      </c>
      <c r="O342" s="387">
        <v>0</v>
      </c>
      <c r="P342" s="388">
        <v>0</v>
      </c>
    </row>
    <row r="343" spans="1:16" ht="12.75">
      <c r="A343" s="380" t="s">
        <v>104</v>
      </c>
      <c r="B343" s="381" t="s">
        <v>135</v>
      </c>
      <c r="C343" s="382" t="s">
        <v>113</v>
      </c>
      <c r="D343" s="198"/>
      <c r="E343" s="198"/>
      <c r="F343" s="199"/>
      <c r="G343" s="126"/>
      <c r="H343" s="126"/>
      <c r="I343" s="199"/>
      <c r="J343" s="183"/>
      <c r="K343" s="393"/>
      <c r="L343" s="421">
        <f>L344+L349+L359+L354</f>
        <v>11064968.95</v>
      </c>
      <c r="M343" s="422">
        <f>M344+M349+M359+M354</f>
        <v>0</v>
      </c>
      <c r="N343" s="423">
        <f>N344+N349+N359+N354</f>
        <v>11352657.889999999</v>
      </c>
      <c r="O343" s="422">
        <f>O344+O349+O359+O354</f>
        <v>11978192.57</v>
      </c>
      <c r="P343" s="423">
        <f>P344+P349+P359+P354</f>
        <v>11749138.3</v>
      </c>
    </row>
    <row r="344" spans="1:16" ht="12.75">
      <c r="A344" s="380" t="s">
        <v>125</v>
      </c>
      <c r="B344" s="381" t="s">
        <v>135</v>
      </c>
      <c r="C344" s="382" t="s">
        <v>113</v>
      </c>
      <c r="D344" s="198" t="s">
        <v>94</v>
      </c>
      <c r="E344" s="198"/>
      <c r="F344" s="199"/>
      <c r="G344" s="126"/>
      <c r="H344" s="126"/>
      <c r="I344" s="199"/>
      <c r="J344" s="183"/>
      <c r="K344" s="393"/>
      <c r="L344" s="421">
        <f aca="true" t="shared" si="74" ref="L344:N347">L345</f>
        <v>4654000</v>
      </c>
      <c r="M344" s="422">
        <f t="shared" si="74"/>
        <v>0</v>
      </c>
      <c r="N344" s="423">
        <f t="shared" si="74"/>
        <v>3930200</v>
      </c>
      <c r="O344" s="422">
        <f aca="true" t="shared" si="75" ref="O344:P347">O345</f>
        <v>4163500</v>
      </c>
      <c r="P344" s="423">
        <f t="shared" si="75"/>
        <v>4163500</v>
      </c>
    </row>
    <row r="345" spans="1:16" ht="12.75">
      <c r="A345" s="389" t="s">
        <v>27</v>
      </c>
      <c r="B345" s="381" t="s">
        <v>135</v>
      </c>
      <c r="C345" s="382" t="s">
        <v>113</v>
      </c>
      <c r="D345" s="198" t="s">
        <v>94</v>
      </c>
      <c r="E345" s="124" t="s">
        <v>14</v>
      </c>
      <c r="F345" s="126" t="s">
        <v>168</v>
      </c>
      <c r="G345" s="126" t="s">
        <v>168</v>
      </c>
      <c r="H345" s="126" t="s">
        <v>168</v>
      </c>
      <c r="I345" s="126" t="s">
        <v>169</v>
      </c>
      <c r="J345" s="128" t="s">
        <v>168</v>
      </c>
      <c r="K345" s="390"/>
      <c r="L345" s="154">
        <f t="shared" si="74"/>
        <v>4654000</v>
      </c>
      <c r="M345" s="72">
        <f t="shared" si="74"/>
        <v>0</v>
      </c>
      <c r="N345" s="73">
        <f t="shared" si="74"/>
        <v>3930200</v>
      </c>
      <c r="O345" s="72">
        <f t="shared" si="75"/>
        <v>4163500</v>
      </c>
      <c r="P345" s="73">
        <f t="shared" si="75"/>
        <v>4163500</v>
      </c>
    </row>
    <row r="346" spans="1:16" ht="12.75">
      <c r="A346" s="389" t="s">
        <v>357</v>
      </c>
      <c r="B346" s="381" t="s">
        <v>135</v>
      </c>
      <c r="C346" s="382" t="s">
        <v>113</v>
      </c>
      <c r="D346" s="198" t="s">
        <v>94</v>
      </c>
      <c r="E346" s="158" t="s">
        <v>14</v>
      </c>
      <c r="F346" s="126" t="s">
        <v>168</v>
      </c>
      <c r="G346" s="126" t="s">
        <v>168</v>
      </c>
      <c r="H346" s="126" t="s">
        <v>168</v>
      </c>
      <c r="I346" s="126" t="s">
        <v>28</v>
      </c>
      <c r="J346" s="128" t="s">
        <v>168</v>
      </c>
      <c r="K346" s="390"/>
      <c r="L346" s="154">
        <f t="shared" si="74"/>
        <v>4654000</v>
      </c>
      <c r="M346" s="72">
        <f t="shared" si="74"/>
        <v>0</v>
      </c>
      <c r="N346" s="73">
        <f t="shared" si="74"/>
        <v>3930200</v>
      </c>
      <c r="O346" s="72">
        <f t="shared" si="75"/>
        <v>4163500</v>
      </c>
      <c r="P346" s="73">
        <f t="shared" si="75"/>
        <v>4163500</v>
      </c>
    </row>
    <row r="347" spans="1:16" ht="12.75">
      <c r="A347" s="389" t="s">
        <v>77</v>
      </c>
      <c r="B347" s="381" t="s">
        <v>135</v>
      </c>
      <c r="C347" s="382" t="s">
        <v>113</v>
      </c>
      <c r="D347" s="198" t="s">
        <v>94</v>
      </c>
      <c r="E347" s="124" t="s">
        <v>14</v>
      </c>
      <c r="F347" s="126" t="s">
        <v>168</v>
      </c>
      <c r="G347" s="126" t="s">
        <v>168</v>
      </c>
      <c r="H347" s="126" t="s">
        <v>168</v>
      </c>
      <c r="I347" s="126" t="s">
        <v>28</v>
      </c>
      <c r="J347" s="128" t="s">
        <v>168</v>
      </c>
      <c r="K347" s="390" t="s">
        <v>78</v>
      </c>
      <c r="L347" s="154">
        <f t="shared" si="74"/>
        <v>4654000</v>
      </c>
      <c r="M347" s="72">
        <f t="shared" si="74"/>
        <v>0</v>
      </c>
      <c r="N347" s="73">
        <f t="shared" si="74"/>
        <v>3930200</v>
      </c>
      <c r="O347" s="72">
        <f t="shared" si="75"/>
        <v>4163500</v>
      </c>
      <c r="P347" s="73">
        <f t="shared" si="75"/>
        <v>4163500</v>
      </c>
    </row>
    <row r="348" spans="1:16" s="461" customFormat="1" ht="12.75">
      <c r="A348" s="389" t="s">
        <v>320</v>
      </c>
      <c r="B348" s="381" t="s">
        <v>135</v>
      </c>
      <c r="C348" s="382" t="s">
        <v>113</v>
      </c>
      <c r="D348" s="198" t="s">
        <v>94</v>
      </c>
      <c r="E348" s="158" t="s">
        <v>14</v>
      </c>
      <c r="F348" s="126" t="s">
        <v>168</v>
      </c>
      <c r="G348" s="126" t="s">
        <v>168</v>
      </c>
      <c r="H348" s="126" t="s">
        <v>168</v>
      </c>
      <c r="I348" s="126" t="s">
        <v>28</v>
      </c>
      <c r="J348" s="128" t="s">
        <v>168</v>
      </c>
      <c r="K348" s="390" t="s">
        <v>319</v>
      </c>
      <c r="L348" s="154">
        <v>4654000</v>
      </c>
      <c r="M348" s="72">
        <v>0</v>
      </c>
      <c r="N348" s="73">
        <v>3930200</v>
      </c>
      <c r="O348" s="72">
        <v>4163500</v>
      </c>
      <c r="P348" s="460">
        <v>4163500</v>
      </c>
    </row>
    <row r="349" spans="1:16" ht="12.75">
      <c r="A349" s="380" t="s">
        <v>123</v>
      </c>
      <c r="B349" s="381" t="s">
        <v>135</v>
      </c>
      <c r="C349" s="382" t="s">
        <v>113</v>
      </c>
      <c r="D349" s="198" t="s">
        <v>97</v>
      </c>
      <c r="E349" s="158"/>
      <c r="F349" s="159"/>
      <c r="G349" s="126"/>
      <c r="H349" s="126"/>
      <c r="I349" s="159"/>
      <c r="J349" s="398"/>
      <c r="K349" s="399"/>
      <c r="L349" s="421">
        <f>L350</f>
        <v>540000</v>
      </c>
      <c r="M349" s="422">
        <f>M350</f>
        <v>0</v>
      </c>
      <c r="N349" s="423">
        <f>N350</f>
        <v>540000</v>
      </c>
      <c r="O349" s="422">
        <f>O350</f>
        <v>540000</v>
      </c>
      <c r="P349" s="423">
        <f>P350</f>
        <v>540000</v>
      </c>
    </row>
    <row r="350" spans="1:16" ht="38.25">
      <c r="A350" s="389" t="s">
        <v>269</v>
      </c>
      <c r="B350" s="381" t="s">
        <v>135</v>
      </c>
      <c r="C350" s="382" t="s">
        <v>113</v>
      </c>
      <c r="D350" s="198" t="s">
        <v>97</v>
      </c>
      <c r="E350" s="124" t="s">
        <v>111</v>
      </c>
      <c r="F350" s="126" t="s">
        <v>168</v>
      </c>
      <c r="G350" s="126" t="s">
        <v>168</v>
      </c>
      <c r="H350" s="126" t="s">
        <v>168</v>
      </c>
      <c r="I350" s="126" t="s">
        <v>169</v>
      </c>
      <c r="J350" s="128" t="s">
        <v>168</v>
      </c>
      <c r="K350" s="390"/>
      <c r="L350" s="154">
        <f aca="true" t="shared" si="76" ref="L350:N352">L351</f>
        <v>540000</v>
      </c>
      <c r="M350" s="72">
        <f t="shared" si="76"/>
        <v>0</v>
      </c>
      <c r="N350" s="73">
        <f t="shared" si="76"/>
        <v>540000</v>
      </c>
      <c r="O350" s="72">
        <f aca="true" t="shared" si="77" ref="O350:P352">O351</f>
        <v>540000</v>
      </c>
      <c r="P350" s="73">
        <f t="shared" si="77"/>
        <v>540000</v>
      </c>
    </row>
    <row r="351" spans="1:16" ht="12.75">
      <c r="A351" s="380" t="s">
        <v>270</v>
      </c>
      <c r="B351" s="381" t="s">
        <v>135</v>
      </c>
      <c r="C351" s="382" t="s">
        <v>113</v>
      </c>
      <c r="D351" s="198" t="s">
        <v>97</v>
      </c>
      <c r="E351" s="124" t="s">
        <v>111</v>
      </c>
      <c r="F351" s="126" t="s">
        <v>168</v>
      </c>
      <c r="G351" s="126" t="s">
        <v>168</v>
      </c>
      <c r="H351" s="126" t="s">
        <v>168</v>
      </c>
      <c r="I351" s="126" t="s">
        <v>271</v>
      </c>
      <c r="J351" s="128" t="s">
        <v>168</v>
      </c>
      <c r="K351" s="390"/>
      <c r="L351" s="154">
        <f t="shared" si="76"/>
        <v>540000</v>
      </c>
      <c r="M351" s="72">
        <f t="shared" si="76"/>
        <v>0</v>
      </c>
      <c r="N351" s="73">
        <f t="shared" si="76"/>
        <v>540000</v>
      </c>
      <c r="O351" s="72">
        <f t="shared" si="77"/>
        <v>540000</v>
      </c>
      <c r="P351" s="73">
        <f t="shared" si="77"/>
        <v>540000</v>
      </c>
    </row>
    <row r="352" spans="1:16" ht="12.75">
      <c r="A352" s="389" t="s">
        <v>77</v>
      </c>
      <c r="B352" s="381" t="s">
        <v>135</v>
      </c>
      <c r="C352" s="382" t="s">
        <v>113</v>
      </c>
      <c r="D352" s="198" t="s">
        <v>97</v>
      </c>
      <c r="E352" s="124" t="s">
        <v>111</v>
      </c>
      <c r="F352" s="126" t="s">
        <v>168</v>
      </c>
      <c r="G352" s="126" t="s">
        <v>168</v>
      </c>
      <c r="H352" s="126" t="s">
        <v>168</v>
      </c>
      <c r="I352" s="126" t="s">
        <v>271</v>
      </c>
      <c r="J352" s="128" t="s">
        <v>168</v>
      </c>
      <c r="K352" s="390" t="s">
        <v>78</v>
      </c>
      <c r="L352" s="154">
        <f t="shared" si="76"/>
        <v>540000</v>
      </c>
      <c r="M352" s="72">
        <f t="shared" si="76"/>
        <v>0</v>
      </c>
      <c r="N352" s="73">
        <f t="shared" si="76"/>
        <v>540000</v>
      </c>
      <c r="O352" s="72">
        <f t="shared" si="77"/>
        <v>540000</v>
      </c>
      <c r="P352" s="73">
        <f t="shared" si="77"/>
        <v>540000</v>
      </c>
    </row>
    <row r="353" spans="1:16" ht="25.5">
      <c r="A353" s="389" t="s">
        <v>79</v>
      </c>
      <c r="B353" s="381" t="s">
        <v>135</v>
      </c>
      <c r="C353" s="382" t="s">
        <v>113</v>
      </c>
      <c r="D353" s="198" t="s">
        <v>97</v>
      </c>
      <c r="E353" s="124" t="s">
        <v>111</v>
      </c>
      <c r="F353" s="126" t="s">
        <v>168</v>
      </c>
      <c r="G353" s="126" t="s">
        <v>168</v>
      </c>
      <c r="H353" s="126" t="s">
        <v>168</v>
      </c>
      <c r="I353" s="126" t="s">
        <v>271</v>
      </c>
      <c r="J353" s="128" t="s">
        <v>168</v>
      </c>
      <c r="K353" s="390" t="s">
        <v>80</v>
      </c>
      <c r="L353" s="154">
        <v>540000</v>
      </c>
      <c r="M353" s="72">
        <v>0</v>
      </c>
      <c r="N353" s="73">
        <v>540000</v>
      </c>
      <c r="O353" s="72">
        <v>540000</v>
      </c>
      <c r="P353" s="73">
        <v>540000</v>
      </c>
    </row>
    <row r="354" spans="1:16" ht="12.75">
      <c r="A354" s="380" t="s">
        <v>137</v>
      </c>
      <c r="B354" s="381" t="s">
        <v>135</v>
      </c>
      <c r="C354" s="382" t="s">
        <v>113</v>
      </c>
      <c r="D354" s="198" t="s">
        <v>96</v>
      </c>
      <c r="E354" s="124"/>
      <c r="F354" s="126"/>
      <c r="G354" s="126"/>
      <c r="H354" s="126"/>
      <c r="I354" s="126"/>
      <c r="J354" s="128"/>
      <c r="K354" s="390"/>
      <c r="L354" s="154">
        <f>L355</f>
        <v>990000</v>
      </c>
      <c r="M354" s="72">
        <f>M355</f>
        <v>0</v>
      </c>
      <c r="N354" s="73">
        <f>N355</f>
        <v>1153242.74</v>
      </c>
      <c r="O354" s="72">
        <f>O355</f>
        <v>1038957.43</v>
      </c>
      <c r="P354" s="73">
        <f>P355</f>
        <v>0</v>
      </c>
    </row>
    <row r="355" spans="1:16" ht="25.5">
      <c r="A355" s="389" t="s">
        <v>290</v>
      </c>
      <c r="B355" s="381" t="s">
        <v>135</v>
      </c>
      <c r="C355" s="382" t="s">
        <v>113</v>
      </c>
      <c r="D355" s="198" t="s">
        <v>96</v>
      </c>
      <c r="E355" s="124" t="s">
        <v>100</v>
      </c>
      <c r="F355" s="126" t="s">
        <v>168</v>
      </c>
      <c r="G355" s="126" t="s">
        <v>168</v>
      </c>
      <c r="H355" s="126" t="s">
        <v>168</v>
      </c>
      <c r="I355" s="126" t="s">
        <v>169</v>
      </c>
      <c r="J355" s="128" t="s">
        <v>168</v>
      </c>
      <c r="K355" s="390"/>
      <c r="L355" s="154">
        <f aca="true" t="shared" si="78" ref="L355:P357">L356</f>
        <v>990000</v>
      </c>
      <c r="M355" s="72">
        <f t="shared" si="78"/>
        <v>0</v>
      </c>
      <c r="N355" s="73">
        <f t="shared" si="78"/>
        <v>1153242.74</v>
      </c>
      <c r="O355" s="72">
        <f t="shared" si="78"/>
        <v>1038957.43</v>
      </c>
      <c r="P355" s="73">
        <f t="shared" si="78"/>
        <v>0</v>
      </c>
    </row>
    <row r="356" spans="1:16" ht="15.75" customHeight="1">
      <c r="A356" s="380" t="s">
        <v>251</v>
      </c>
      <c r="B356" s="381" t="s">
        <v>135</v>
      </c>
      <c r="C356" s="382" t="s">
        <v>113</v>
      </c>
      <c r="D356" s="198" t="s">
        <v>96</v>
      </c>
      <c r="E356" s="124" t="s">
        <v>100</v>
      </c>
      <c r="F356" s="126" t="s">
        <v>168</v>
      </c>
      <c r="G356" s="126" t="s">
        <v>168</v>
      </c>
      <c r="H356" s="126" t="s">
        <v>168</v>
      </c>
      <c r="I356" s="126" t="s">
        <v>247</v>
      </c>
      <c r="J356" s="128" t="s">
        <v>168</v>
      </c>
      <c r="K356" s="390"/>
      <c r="L356" s="154">
        <f t="shared" si="78"/>
        <v>990000</v>
      </c>
      <c r="M356" s="72">
        <f t="shared" si="78"/>
        <v>0</v>
      </c>
      <c r="N356" s="73">
        <f t="shared" si="78"/>
        <v>1153242.74</v>
      </c>
      <c r="O356" s="72">
        <f t="shared" si="78"/>
        <v>1038957.43</v>
      </c>
      <c r="P356" s="73">
        <f t="shared" si="78"/>
        <v>0</v>
      </c>
    </row>
    <row r="357" spans="1:16" ht="12.75">
      <c r="A357" s="389" t="s">
        <v>77</v>
      </c>
      <c r="B357" s="381" t="s">
        <v>135</v>
      </c>
      <c r="C357" s="382" t="s">
        <v>113</v>
      </c>
      <c r="D357" s="198" t="s">
        <v>96</v>
      </c>
      <c r="E357" s="124" t="s">
        <v>100</v>
      </c>
      <c r="F357" s="126" t="s">
        <v>168</v>
      </c>
      <c r="G357" s="126" t="s">
        <v>168</v>
      </c>
      <c r="H357" s="126" t="s">
        <v>168</v>
      </c>
      <c r="I357" s="126" t="s">
        <v>247</v>
      </c>
      <c r="J357" s="128" t="s">
        <v>168</v>
      </c>
      <c r="K357" s="390" t="s">
        <v>78</v>
      </c>
      <c r="L357" s="154">
        <f t="shared" si="78"/>
        <v>990000</v>
      </c>
      <c r="M357" s="72">
        <f t="shared" si="78"/>
        <v>0</v>
      </c>
      <c r="N357" s="73">
        <f t="shared" si="78"/>
        <v>1153242.74</v>
      </c>
      <c r="O357" s="72">
        <f t="shared" si="78"/>
        <v>1038957.43</v>
      </c>
      <c r="P357" s="73">
        <f t="shared" si="78"/>
        <v>0</v>
      </c>
    </row>
    <row r="358" spans="1:16" ht="25.5">
      <c r="A358" s="389" t="s">
        <v>79</v>
      </c>
      <c r="B358" s="381" t="s">
        <v>135</v>
      </c>
      <c r="C358" s="382" t="s">
        <v>113</v>
      </c>
      <c r="D358" s="198" t="s">
        <v>96</v>
      </c>
      <c r="E358" s="124" t="s">
        <v>100</v>
      </c>
      <c r="F358" s="126" t="s">
        <v>168</v>
      </c>
      <c r="G358" s="126" t="s">
        <v>168</v>
      </c>
      <c r="H358" s="126" t="s">
        <v>168</v>
      </c>
      <c r="I358" s="126" t="s">
        <v>247</v>
      </c>
      <c r="J358" s="128" t="s">
        <v>168</v>
      </c>
      <c r="K358" s="390" t="s">
        <v>80</v>
      </c>
      <c r="L358" s="154">
        <v>990000</v>
      </c>
      <c r="M358" s="72">
        <v>0</v>
      </c>
      <c r="N358" s="73">
        <v>1153242.74</v>
      </c>
      <c r="O358" s="72">
        <v>1038957.43</v>
      </c>
      <c r="P358" s="73">
        <v>0</v>
      </c>
    </row>
    <row r="359" spans="1:16" ht="12.75">
      <c r="A359" s="401" t="s">
        <v>211</v>
      </c>
      <c r="B359" s="381" t="s">
        <v>135</v>
      </c>
      <c r="C359" s="396" t="s">
        <v>113</v>
      </c>
      <c r="D359" s="158" t="s">
        <v>95</v>
      </c>
      <c r="E359" s="158"/>
      <c r="F359" s="159"/>
      <c r="G359" s="126"/>
      <c r="H359" s="126"/>
      <c r="I359" s="328"/>
      <c r="J359" s="128"/>
      <c r="K359" s="399"/>
      <c r="L359" s="154">
        <f>L360</f>
        <v>4880968.95</v>
      </c>
      <c r="M359" s="72">
        <f>M360</f>
        <v>0</v>
      </c>
      <c r="N359" s="73">
        <f>N360</f>
        <v>5729215.149999999</v>
      </c>
      <c r="O359" s="72">
        <f>O360</f>
        <v>6235735.14</v>
      </c>
      <c r="P359" s="73">
        <f>P360</f>
        <v>7045638.3</v>
      </c>
    </row>
    <row r="360" spans="1:16" ht="12.75">
      <c r="A360" s="389" t="s">
        <v>27</v>
      </c>
      <c r="B360" s="381" t="s">
        <v>135</v>
      </c>
      <c r="C360" s="396" t="s">
        <v>113</v>
      </c>
      <c r="D360" s="158" t="s">
        <v>95</v>
      </c>
      <c r="E360" s="124" t="s">
        <v>14</v>
      </c>
      <c r="F360" s="126" t="s">
        <v>168</v>
      </c>
      <c r="G360" s="126" t="s">
        <v>168</v>
      </c>
      <c r="H360" s="126" t="s">
        <v>168</v>
      </c>
      <c r="I360" s="126" t="s">
        <v>169</v>
      </c>
      <c r="J360" s="128" t="s">
        <v>168</v>
      </c>
      <c r="K360" s="399"/>
      <c r="L360" s="154">
        <f>L364+L361</f>
        <v>4880968.95</v>
      </c>
      <c r="M360" s="72">
        <f>M364+M361</f>
        <v>0</v>
      </c>
      <c r="N360" s="73">
        <f>N364+N361</f>
        <v>5729215.149999999</v>
      </c>
      <c r="O360" s="72">
        <f>O364+O361</f>
        <v>6235735.14</v>
      </c>
      <c r="P360" s="73">
        <f>P364+P361</f>
        <v>7045638.3</v>
      </c>
    </row>
    <row r="361" spans="1:16" ht="25.5">
      <c r="A361" s="389" t="s">
        <v>267</v>
      </c>
      <c r="B361" s="381" t="s">
        <v>135</v>
      </c>
      <c r="C361" s="382" t="s">
        <v>113</v>
      </c>
      <c r="D361" s="198" t="s">
        <v>95</v>
      </c>
      <c r="E361" s="124" t="s">
        <v>14</v>
      </c>
      <c r="F361" s="126" t="s">
        <v>168</v>
      </c>
      <c r="G361" s="126" t="s">
        <v>168</v>
      </c>
      <c r="H361" s="126" t="s">
        <v>168</v>
      </c>
      <c r="I361" s="126" t="s">
        <v>266</v>
      </c>
      <c r="J361" s="128" t="s">
        <v>168</v>
      </c>
      <c r="K361" s="390"/>
      <c r="L361" s="154">
        <f aca="true" t="shared" si="79" ref="L361:P362">L362</f>
        <v>336382.86</v>
      </c>
      <c r="M361" s="72">
        <f t="shared" si="79"/>
        <v>0</v>
      </c>
      <c r="N361" s="73">
        <f t="shared" si="79"/>
        <v>356896.8</v>
      </c>
      <c r="O361" s="72">
        <f t="shared" si="79"/>
        <v>445407.21</v>
      </c>
      <c r="P361" s="73">
        <f t="shared" si="79"/>
        <v>445407.21</v>
      </c>
    </row>
    <row r="362" spans="1:16" ht="12.75">
      <c r="A362" s="389" t="s">
        <v>77</v>
      </c>
      <c r="B362" s="381" t="s">
        <v>135</v>
      </c>
      <c r="C362" s="382" t="s">
        <v>113</v>
      </c>
      <c r="D362" s="198" t="s">
        <v>95</v>
      </c>
      <c r="E362" s="158" t="s">
        <v>14</v>
      </c>
      <c r="F362" s="126" t="s">
        <v>168</v>
      </c>
      <c r="G362" s="126" t="s">
        <v>168</v>
      </c>
      <c r="H362" s="126" t="s">
        <v>168</v>
      </c>
      <c r="I362" s="126" t="s">
        <v>266</v>
      </c>
      <c r="J362" s="128" t="s">
        <v>168</v>
      </c>
      <c r="K362" s="390" t="s">
        <v>78</v>
      </c>
      <c r="L362" s="154">
        <f t="shared" si="79"/>
        <v>336382.86</v>
      </c>
      <c r="M362" s="72">
        <f t="shared" si="79"/>
        <v>0</v>
      </c>
      <c r="N362" s="73">
        <f t="shared" si="79"/>
        <v>356896.8</v>
      </c>
      <c r="O362" s="72">
        <f t="shared" si="79"/>
        <v>445407.21</v>
      </c>
      <c r="P362" s="73">
        <f t="shared" si="79"/>
        <v>445407.21</v>
      </c>
    </row>
    <row r="363" spans="1:16" ht="25.5">
      <c r="A363" s="389" t="s">
        <v>79</v>
      </c>
      <c r="B363" s="381" t="s">
        <v>135</v>
      </c>
      <c r="C363" s="382" t="s">
        <v>113</v>
      </c>
      <c r="D363" s="198" t="s">
        <v>95</v>
      </c>
      <c r="E363" s="124" t="s">
        <v>14</v>
      </c>
      <c r="F363" s="126" t="s">
        <v>168</v>
      </c>
      <c r="G363" s="126" t="s">
        <v>168</v>
      </c>
      <c r="H363" s="126" t="s">
        <v>168</v>
      </c>
      <c r="I363" s="126" t="s">
        <v>266</v>
      </c>
      <c r="J363" s="128" t="s">
        <v>168</v>
      </c>
      <c r="K363" s="458" t="s">
        <v>80</v>
      </c>
      <c r="L363" s="154">
        <v>336382.86</v>
      </c>
      <c r="M363" s="72">
        <v>0</v>
      </c>
      <c r="N363" s="73">
        <v>356896.8</v>
      </c>
      <c r="O363" s="72">
        <v>445407.21</v>
      </c>
      <c r="P363" s="73">
        <v>445407.21</v>
      </c>
    </row>
    <row r="364" spans="1:16" ht="25.5">
      <c r="A364" s="389" t="s">
        <v>132</v>
      </c>
      <c r="B364" s="381" t="s">
        <v>135</v>
      </c>
      <c r="C364" s="396" t="s">
        <v>113</v>
      </c>
      <c r="D364" s="158" t="s">
        <v>95</v>
      </c>
      <c r="E364" s="124" t="s">
        <v>14</v>
      </c>
      <c r="F364" s="126" t="s">
        <v>168</v>
      </c>
      <c r="G364" s="126" t="s">
        <v>168</v>
      </c>
      <c r="H364" s="126" t="s">
        <v>168</v>
      </c>
      <c r="I364" s="126" t="s">
        <v>255</v>
      </c>
      <c r="J364" s="128" t="s">
        <v>166</v>
      </c>
      <c r="K364" s="390"/>
      <c r="L364" s="154">
        <f>L365+L367</f>
        <v>4544586.09</v>
      </c>
      <c r="M364" s="72">
        <f>M365+M367</f>
        <v>0</v>
      </c>
      <c r="N364" s="73">
        <f>N365+N367</f>
        <v>5372318.35</v>
      </c>
      <c r="O364" s="72">
        <f>O365+O367</f>
        <v>5790327.93</v>
      </c>
      <c r="P364" s="73">
        <f>P365+P367</f>
        <v>6600231.09</v>
      </c>
    </row>
    <row r="365" spans="1:16" ht="51">
      <c r="A365" s="389" t="s">
        <v>92</v>
      </c>
      <c r="B365" s="381" t="s">
        <v>135</v>
      </c>
      <c r="C365" s="396" t="s">
        <v>113</v>
      </c>
      <c r="D365" s="158" t="s">
        <v>95</v>
      </c>
      <c r="E365" s="124" t="s">
        <v>14</v>
      </c>
      <c r="F365" s="126" t="s">
        <v>168</v>
      </c>
      <c r="G365" s="126" t="s">
        <v>168</v>
      </c>
      <c r="H365" s="126" t="s">
        <v>168</v>
      </c>
      <c r="I365" s="126" t="s">
        <v>255</v>
      </c>
      <c r="J365" s="128" t="s">
        <v>166</v>
      </c>
      <c r="K365" s="390">
        <v>100</v>
      </c>
      <c r="L365" s="154">
        <f>L366</f>
        <v>4418600</v>
      </c>
      <c r="M365" s="72">
        <f>M366</f>
        <v>0</v>
      </c>
      <c r="N365" s="73">
        <f>N366</f>
        <v>5217747.88</v>
      </c>
      <c r="O365" s="72">
        <f>O366</f>
        <v>5656080.64</v>
      </c>
      <c r="P365" s="73">
        <f>P366</f>
        <v>6465985.26</v>
      </c>
    </row>
    <row r="366" spans="1:16" ht="25.5">
      <c r="A366" s="389" t="s">
        <v>82</v>
      </c>
      <c r="B366" s="381" t="s">
        <v>135</v>
      </c>
      <c r="C366" s="396" t="s">
        <v>113</v>
      </c>
      <c r="D366" s="158" t="s">
        <v>95</v>
      </c>
      <c r="E366" s="124" t="s">
        <v>14</v>
      </c>
      <c r="F366" s="126" t="s">
        <v>168</v>
      </c>
      <c r="G366" s="126" t="s">
        <v>168</v>
      </c>
      <c r="H366" s="126" t="s">
        <v>168</v>
      </c>
      <c r="I366" s="126" t="s">
        <v>255</v>
      </c>
      <c r="J366" s="128" t="s">
        <v>166</v>
      </c>
      <c r="K366" s="390">
        <v>120</v>
      </c>
      <c r="L366" s="154">
        <f>3287400+986800+144400</f>
        <v>4418600</v>
      </c>
      <c r="M366" s="72">
        <v>0</v>
      </c>
      <c r="N366" s="73">
        <f>3920940+115100+1181707.88</f>
        <v>5217747.88</v>
      </c>
      <c r="O366" s="72">
        <f>4313618+45790+1296672.64</f>
        <v>5656080.64</v>
      </c>
      <c r="P366" s="73">
        <f>4884428+112500+1469057.26</f>
        <v>6465985.26</v>
      </c>
    </row>
    <row r="367" spans="1:16" ht="25.5">
      <c r="A367" s="389" t="s">
        <v>73</v>
      </c>
      <c r="B367" s="381" t="s">
        <v>135</v>
      </c>
      <c r="C367" s="396" t="s">
        <v>113</v>
      </c>
      <c r="D367" s="158" t="s">
        <v>95</v>
      </c>
      <c r="E367" s="124" t="s">
        <v>14</v>
      </c>
      <c r="F367" s="126" t="s">
        <v>168</v>
      </c>
      <c r="G367" s="126" t="s">
        <v>168</v>
      </c>
      <c r="H367" s="126" t="s">
        <v>168</v>
      </c>
      <c r="I367" s="126" t="s">
        <v>255</v>
      </c>
      <c r="J367" s="128" t="s">
        <v>166</v>
      </c>
      <c r="K367" s="390">
        <v>200</v>
      </c>
      <c r="L367" s="154">
        <f>L368</f>
        <v>125986.09</v>
      </c>
      <c r="M367" s="72">
        <f>M368</f>
        <v>0</v>
      </c>
      <c r="N367" s="73">
        <f>N368</f>
        <v>154570.47</v>
      </c>
      <c r="O367" s="72">
        <f>O368</f>
        <v>134247.29</v>
      </c>
      <c r="P367" s="73">
        <f>P368</f>
        <v>134245.83</v>
      </c>
    </row>
    <row r="368" spans="1:16" ht="25.5">
      <c r="A368" s="389" t="s">
        <v>75</v>
      </c>
      <c r="B368" s="381" t="s">
        <v>135</v>
      </c>
      <c r="C368" s="396" t="s">
        <v>113</v>
      </c>
      <c r="D368" s="158" t="s">
        <v>95</v>
      </c>
      <c r="E368" s="124" t="s">
        <v>14</v>
      </c>
      <c r="F368" s="126" t="s">
        <v>168</v>
      </c>
      <c r="G368" s="126" t="s">
        <v>168</v>
      </c>
      <c r="H368" s="126" t="s">
        <v>168</v>
      </c>
      <c r="I368" s="126" t="s">
        <v>255</v>
      </c>
      <c r="J368" s="128" t="s">
        <v>166</v>
      </c>
      <c r="K368" s="390">
        <v>240</v>
      </c>
      <c r="L368" s="154">
        <v>125986.09</v>
      </c>
      <c r="M368" s="72">
        <v>0</v>
      </c>
      <c r="N368" s="73">
        <v>154570.47</v>
      </c>
      <c r="O368" s="72">
        <v>134247.29</v>
      </c>
      <c r="P368" s="73">
        <v>134245.83</v>
      </c>
    </row>
    <row r="369" spans="1:16" s="386" customFormat="1" ht="12.75">
      <c r="A369" s="420" t="s">
        <v>155</v>
      </c>
      <c r="B369" s="381" t="s">
        <v>135</v>
      </c>
      <c r="C369" s="396" t="s">
        <v>121</v>
      </c>
      <c r="D369" s="158"/>
      <c r="E369" s="158"/>
      <c r="F369" s="159"/>
      <c r="G369" s="126"/>
      <c r="H369" s="126"/>
      <c r="I369" s="159"/>
      <c r="J369" s="398"/>
      <c r="K369" s="399"/>
      <c r="L369" s="279">
        <f>L370+L377</f>
        <v>958003</v>
      </c>
      <c r="M369" s="387">
        <f>M370+M377</f>
        <v>0</v>
      </c>
      <c r="N369" s="388">
        <f>N370+N377</f>
        <v>958027.4</v>
      </c>
      <c r="O369" s="387">
        <f>O370+O377</f>
        <v>1081538.4</v>
      </c>
      <c r="P369" s="388">
        <f>P370+P377</f>
        <v>0</v>
      </c>
    </row>
    <row r="370" spans="1:16" s="386" customFormat="1" ht="12.75">
      <c r="A370" s="420" t="s">
        <v>154</v>
      </c>
      <c r="B370" s="381" t="s">
        <v>135</v>
      </c>
      <c r="C370" s="382" t="s">
        <v>121</v>
      </c>
      <c r="D370" s="198" t="s">
        <v>94</v>
      </c>
      <c r="E370" s="198"/>
      <c r="F370" s="199"/>
      <c r="G370" s="126"/>
      <c r="H370" s="126"/>
      <c r="I370" s="199"/>
      <c r="J370" s="183"/>
      <c r="K370" s="393"/>
      <c r="L370" s="279">
        <f aca="true" t="shared" si="80" ref="L370:P371">L371</f>
        <v>694503</v>
      </c>
      <c r="M370" s="387">
        <f t="shared" si="80"/>
        <v>0</v>
      </c>
      <c r="N370" s="388">
        <f t="shared" si="80"/>
        <v>576127.4</v>
      </c>
      <c r="O370" s="387">
        <f t="shared" si="80"/>
        <v>673738.4</v>
      </c>
      <c r="P370" s="388">
        <f t="shared" si="80"/>
        <v>0</v>
      </c>
    </row>
    <row r="371" spans="1:16" s="386" customFormat="1" ht="33" customHeight="1">
      <c r="A371" s="449" t="s">
        <v>326</v>
      </c>
      <c r="B371" s="381" t="s">
        <v>135</v>
      </c>
      <c r="C371" s="382" t="s">
        <v>121</v>
      </c>
      <c r="D371" s="198" t="s">
        <v>94</v>
      </c>
      <c r="E371" s="152" t="s">
        <v>225</v>
      </c>
      <c r="F371" s="153" t="s">
        <v>168</v>
      </c>
      <c r="G371" s="126" t="s">
        <v>168</v>
      </c>
      <c r="H371" s="126" t="s">
        <v>168</v>
      </c>
      <c r="I371" s="153" t="s">
        <v>169</v>
      </c>
      <c r="J371" s="128" t="s">
        <v>168</v>
      </c>
      <c r="K371" s="400"/>
      <c r="L371" s="154">
        <f t="shared" si="80"/>
        <v>694503</v>
      </c>
      <c r="M371" s="72">
        <f t="shared" si="80"/>
        <v>0</v>
      </c>
      <c r="N371" s="73">
        <f t="shared" si="80"/>
        <v>576127.4</v>
      </c>
      <c r="O371" s="72">
        <f t="shared" si="80"/>
        <v>673738.4</v>
      </c>
      <c r="P371" s="73">
        <f t="shared" si="80"/>
        <v>0</v>
      </c>
    </row>
    <row r="372" spans="1:16" s="386" customFormat="1" ht="22.5" customHeight="1">
      <c r="A372" s="389" t="s">
        <v>70</v>
      </c>
      <c r="B372" s="381" t="s">
        <v>135</v>
      </c>
      <c r="C372" s="382" t="s">
        <v>121</v>
      </c>
      <c r="D372" s="198" t="s">
        <v>94</v>
      </c>
      <c r="E372" s="124" t="s">
        <v>225</v>
      </c>
      <c r="F372" s="126" t="s">
        <v>168</v>
      </c>
      <c r="G372" s="126" t="s">
        <v>168</v>
      </c>
      <c r="H372" s="126" t="s">
        <v>168</v>
      </c>
      <c r="I372" s="126" t="s">
        <v>26</v>
      </c>
      <c r="J372" s="128" t="s">
        <v>168</v>
      </c>
      <c r="K372" s="390"/>
      <c r="L372" s="154">
        <f>L373+L375</f>
        <v>694503</v>
      </c>
      <c r="M372" s="72">
        <f>M373+M375</f>
        <v>0</v>
      </c>
      <c r="N372" s="73">
        <f>N373+N375</f>
        <v>576127.4</v>
      </c>
      <c r="O372" s="72">
        <f>O373+O375</f>
        <v>673738.4</v>
      </c>
      <c r="P372" s="73">
        <f>P373+P375</f>
        <v>0</v>
      </c>
    </row>
    <row r="373" spans="1:16" s="386" customFormat="1" ht="25.5">
      <c r="A373" s="389" t="s">
        <v>73</v>
      </c>
      <c r="B373" s="381" t="s">
        <v>135</v>
      </c>
      <c r="C373" s="382" t="s">
        <v>121</v>
      </c>
      <c r="D373" s="198" t="s">
        <v>94</v>
      </c>
      <c r="E373" s="124" t="s">
        <v>225</v>
      </c>
      <c r="F373" s="126" t="s">
        <v>168</v>
      </c>
      <c r="G373" s="126" t="s">
        <v>168</v>
      </c>
      <c r="H373" s="126" t="s">
        <v>168</v>
      </c>
      <c r="I373" s="126" t="s">
        <v>26</v>
      </c>
      <c r="J373" s="128" t="s">
        <v>168</v>
      </c>
      <c r="K373" s="390" t="s">
        <v>74</v>
      </c>
      <c r="L373" s="154">
        <f>L374</f>
        <v>640872</v>
      </c>
      <c r="M373" s="72">
        <f>M374</f>
        <v>0</v>
      </c>
      <c r="N373" s="73">
        <f>N374</f>
        <v>554097.4</v>
      </c>
      <c r="O373" s="72">
        <f>O374</f>
        <v>651708.4</v>
      </c>
      <c r="P373" s="73">
        <f>P374</f>
        <v>0</v>
      </c>
    </row>
    <row r="374" spans="1:16" s="386" customFormat="1" ht="25.5">
      <c r="A374" s="389" t="s">
        <v>75</v>
      </c>
      <c r="B374" s="381" t="s">
        <v>135</v>
      </c>
      <c r="C374" s="382" t="s">
        <v>121</v>
      </c>
      <c r="D374" s="198" t="s">
        <v>94</v>
      </c>
      <c r="E374" s="124" t="s">
        <v>225</v>
      </c>
      <c r="F374" s="126" t="s">
        <v>168</v>
      </c>
      <c r="G374" s="126" t="s">
        <v>168</v>
      </c>
      <c r="H374" s="126" t="s">
        <v>168</v>
      </c>
      <c r="I374" s="126" t="s">
        <v>26</v>
      </c>
      <c r="J374" s="128" t="s">
        <v>168</v>
      </c>
      <c r="K374" s="390" t="s">
        <v>76</v>
      </c>
      <c r="L374" s="154">
        <v>640872</v>
      </c>
      <c r="M374" s="72">
        <v>0</v>
      </c>
      <c r="N374" s="73">
        <v>554097.4</v>
      </c>
      <c r="O374" s="72">
        <v>651708.4</v>
      </c>
      <c r="P374" s="73"/>
    </row>
    <row r="375" spans="1:16" s="386" customFormat="1" ht="12.75">
      <c r="A375" s="389" t="s">
        <v>83</v>
      </c>
      <c r="B375" s="381" t="s">
        <v>135</v>
      </c>
      <c r="C375" s="382" t="s">
        <v>121</v>
      </c>
      <c r="D375" s="198" t="s">
        <v>94</v>
      </c>
      <c r="E375" s="124" t="s">
        <v>225</v>
      </c>
      <c r="F375" s="126" t="s">
        <v>168</v>
      </c>
      <c r="G375" s="126" t="s">
        <v>168</v>
      </c>
      <c r="H375" s="126" t="s">
        <v>168</v>
      </c>
      <c r="I375" s="126" t="s">
        <v>26</v>
      </c>
      <c r="J375" s="128" t="s">
        <v>168</v>
      </c>
      <c r="K375" s="390" t="s">
        <v>84</v>
      </c>
      <c r="L375" s="154">
        <f>L376</f>
        <v>53631</v>
      </c>
      <c r="M375" s="72">
        <f>M376</f>
        <v>0</v>
      </c>
      <c r="N375" s="73">
        <f>N376</f>
        <v>22030</v>
      </c>
      <c r="O375" s="72">
        <f>O376</f>
        <v>22030</v>
      </c>
      <c r="P375" s="73">
        <f>P376</f>
        <v>0</v>
      </c>
    </row>
    <row r="376" spans="1:16" s="386" customFormat="1" ht="12.75">
      <c r="A376" s="389" t="s">
        <v>85</v>
      </c>
      <c r="B376" s="381" t="s">
        <v>135</v>
      </c>
      <c r="C376" s="382" t="s">
        <v>121</v>
      </c>
      <c r="D376" s="198" t="s">
        <v>94</v>
      </c>
      <c r="E376" s="124" t="s">
        <v>225</v>
      </c>
      <c r="F376" s="126" t="s">
        <v>168</v>
      </c>
      <c r="G376" s="126" t="s">
        <v>168</v>
      </c>
      <c r="H376" s="126" t="s">
        <v>168</v>
      </c>
      <c r="I376" s="126" t="s">
        <v>26</v>
      </c>
      <c r="J376" s="128" t="s">
        <v>168</v>
      </c>
      <c r="K376" s="390" t="s">
        <v>86</v>
      </c>
      <c r="L376" s="154">
        <v>53631</v>
      </c>
      <c r="M376" s="72">
        <v>0</v>
      </c>
      <c r="N376" s="73">
        <v>22030</v>
      </c>
      <c r="O376" s="72">
        <v>22030</v>
      </c>
      <c r="P376" s="73"/>
    </row>
    <row r="377" spans="1:16" s="386" customFormat="1" ht="12.75">
      <c r="A377" s="420" t="s">
        <v>236</v>
      </c>
      <c r="B377" s="381" t="s">
        <v>135</v>
      </c>
      <c r="C377" s="382" t="s">
        <v>121</v>
      </c>
      <c r="D377" s="198" t="s">
        <v>98</v>
      </c>
      <c r="E377" s="198"/>
      <c r="F377" s="199"/>
      <c r="G377" s="126"/>
      <c r="H377" s="126"/>
      <c r="I377" s="199"/>
      <c r="J377" s="183"/>
      <c r="K377" s="393"/>
      <c r="L377" s="154">
        <f aca="true" t="shared" si="81" ref="L377:N380">L378</f>
        <v>263500</v>
      </c>
      <c r="M377" s="72">
        <f t="shared" si="81"/>
        <v>0</v>
      </c>
      <c r="N377" s="73">
        <f t="shared" si="81"/>
        <v>381900</v>
      </c>
      <c r="O377" s="72">
        <f aca="true" t="shared" si="82" ref="O377:P380">O378</f>
        <v>407800</v>
      </c>
      <c r="P377" s="73">
        <f t="shared" si="82"/>
        <v>0</v>
      </c>
    </row>
    <row r="378" spans="1:16" s="386" customFormat="1" ht="25.5">
      <c r="A378" s="449" t="s">
        <v>326</v>
      </c>
      <c r="B378" s="381" t="s">
        <v>135</v>
      </c>
      <c r="C378" s="382" t="s">
        <v>121</v>
      </c>
      <c r="D378" s="198" t="s">
        <v>98</v>
      </c>
      <c r="E378" s="152" t="s">
        <v>225</v>
      </c>
      <c r="F378" s="153" t="s">
        <v>168</v>
      </c>
      <c r="G378" s="126" t="s">
        <v>168</v>
      </c>
      <c r="H378" s="126" t="s">
        <v>168</v>
      </c>
      <c r="I378" s="153" t="s">
        <v>169</v>
      </c>
      <c r="J378" s="128" t="s">
        <v>168</v>
      </c>
      <c r="K378" s="400"/>
      <c r="L378" s="154">
        <f t="shared" si="81"/>
        <v>263500</v>
      </c>
      <c r="M378" s="72">
        <f t="shared" si="81"/>
        <v>0</v>
      </c>
      <c r="N378" s="73">
        <f t="shared" si="81"/>
        <v>381900</v>
      </c>
      <c r="O378" s="72">
        <f t="shared" si="82"/>
        <v>407800</v>
      </c>
      <c r="P378" s="73">
        <f t="shared" si="82"/>
        <v>0</v>
      </c>
    </row>
    <row r="379" spans="1:16" s="386" customFormat="1" ht="12.75">
      <c r="A379" s="389" t="s">
        <v>70</v>
      </c>
      <c r="B379" s="381" t="s">
        <v>135</v>
      </c>
      <c r="C379" s="382" t="s">
        <v>121</v>
      </c>
      <c r="D379" s="198" t="s">
        <v>98</v>
      </c>
      <c r="E379" s="124" t="s">
        <v>225</v>
      </c>
      <c r="F379" s="126" t="s">
        <v>168</v>
      </c>
      <c r="G379" s="126" t="s">
        <v>168</v>
      </c>
      <c r="H379" s="126" t="s">
        <v>168</v>
      </c>
      <c r="I379" s="126" t="s">
        <v>26</v>
      </c>
      <c r="J379" s="128" t="s">
        <v>168</v>
      </c>
      <c r="K379" s="390"/>
      <c r="L379" s="154">
        <f t="shared" si="81"/>
        <v>263500</v>
      </c>
      <c r="M379" s="72">
        <f t="shared" si="81"/>
        <v>0</v>
      </c>
      <c r="N379" s="73">
        <f t="shared" si="81"/>
        <v>381900</v>
      </c>
      <c r="O379" s="72">
        <f t="shared" si="82"/>
        <v>407800</v>
      </c>
      <c r="P379" s="73">
        <f t="shared" si="82"/>
        <v>0</v>
      </c>
    </row>
    <row r="380" spans="1:16" s="386" customFormat="1" ht="51">
      <c r="A380" s="389" t="s">
        <v>92</v>
      </c>
      <c r="B380" s="381" t="s">
        <v>135</v>
      </c>
      <c r="C380" s="382" t="s">
        <v>121</v>
      </c>
      <c r="D380" s="198" t="s">
        <v>98</v>
      </c>
      <c r="E380" s="124" t="s">
        <v>225</v>
      </c>
      <c r="F380" s="126" t="s">
        <v>168</v>
      </c>
      <c r="G380" s="126" t="s">
        <v>168</v>
      </c>
      <c r="H380" s="126" t="s">
        <v>168</v>
      </c>
      <c r="I380" s="126" t="s">
        <v>26</v>
      </c>
      <c r="J380" s="128" t="s">
        <v>168</v>
      </c>
      <c r="K380" s="390" t="s">
        <v>81</v>
      </c>
      <c r="L380" s="154">
        <f t="shared" si="81"/>
        <v>263500</v>
      </c>
      <c r="M380" s="72">
        <f t="shared" si="81"/>
        <v>0</v>
      </c>
      <c r="N380" s="73">
        <f t="shared" si="81"/>
        <v>381900</v>
      </c>
      <c r="O380" s="72">
        <f t="shared" si="82"/>
        <v>407800</v>
      </c>
      <c r="P380" s="73">
        <f t="shared" si="82"/>
        <v>0</v>
      </c>
    </row>
    <row r="381" spans="1:16" s="386" customFormat="1" ht="25.5">
      <c r="A381" s="426" t="s">
        <v>82</v>
      </c>
      <c r="B381" s="462" t="s">
        <v>135</v>
      </c>
      <c r="C381" s="463" t="s">
        <v>121</v>
      </c>
      <c r="D381" s="202" t="s">
        <v>98</v>
      </c>
      <c r="E381" s="236" t="s">
        <v>225</v>
      </c>
      <c r="F381" s="204" t="s">
        <v>168</v>
      </c>
      <c r="G381" s="204" t="s">
        <v>168</v>
      </c>
      <c r="H381" s="204" t="s">
        <v>168</v>
      </c>
      <c r="I381" s="204" t="s">
        <v>26</v>
      </c>
      <c r="J381" s="229" t="s">
        <v>168</v>
      </c>
      <c r="K381" s="464" t="s">
        <v>212</v>
      </c>
      <c r="L381" s="295">
        <v>263500</v>
      </c>
      <c r="M381" s="407">
        <v>0</v>
      </c>
      <c r="N381" s="408">
        <v>381900</v>
      </c>
      <c r="O381" s="407">
        <v>407800</v>
      </c>
      <c r="P381" s="408"/>
    </row>
    <row r="382" spans="1:16" s="386" customFormat="1" ht="6.75" customHeight="1">
      <c r="A382" s="389"/>
      <c r="B382" s="381"/>
      <c r="C382" s="382"/>
      <c r="D382" s="382"/>
      <c r="E382" s="124"/>
      <c r="F382" s="126"/>
      <c r="G382" s="126"/>
      <c r="H382" s="126"/>
      <c r="I382" s="126"/>
      <c r="J382" s="128"/>
      <c r="K382" s="390"/>
      <c r="L382" s="154"/>
      <c r="M382" s="72"/>
      <c r="N382" s="73"/>
      <c r="O382" s="72"/>
      <c r="P382" s="73"/>
    </row>
    <row r="383" spans="1:16" s="419" customFormat="1" ht="12.75">
      <c r="A383" s="465" t="s">
        <v>118</v>
      </c>
      <c r="B383" s="381" t="s">
        <v>136</v>
      </c>
      <c r="C383" s="466"/>
      <c r="D383" s="466"/>
      <c r="E383" s="467"/>
      <c r="F383" s="468"/>
      <c r="G383" s="126"/>
      <c r="H383" s="126"/>
      <c r="I383" s="468"/>
      <c r="J383" s="469"/>
      <c r="K383" s="470"/>
      <c r="L383" s="416">
        <f>L384</f>
        <v>3111274</v>
      </c>
      <c r="M383" s="417">
        <f>M384</f>
        <v>0</v>
      </c>
      <c r="N383" s="418">
        <f>N384</f>
        <v>4577012.57</v>
      </c>
      <c r="O383" s="417">
        <f>O384</f>
        <v>4597012.57</v>
      </c>
      <c r="P383" s="418">
        <f>P384</f>
        <v>4597012.57</v>
      </c>
    </row>
    <row r="384" spans="1:16" ht="12.75">
      <c r="A384" s="420" t="s">
        <v>109</v>
      </c>
      <c r="B384" s="381" t="s">
        <v>136</v>
      </c>
      <c r="C384" s="471" t="s">
        <v>94</v>
      </c>
      <c r="D384" s="382"/>
      <c r="E384" s="198"/>
      <c r="F384" s="199"/>
      <c r="G384" s="126"/>
      <c r="H384" s="126"/>
      <c r="I384" s="199"/>
      <c r="J384" s="183"/>
      <c r="K384" s="393"/>
      <c r="L384" s="421">
        <f>L385+L397</f>
        <v>3111274</v>
      </c>
      <c r="M384" s="422">
        <f>M385+M397</f>
        <v>0</v>
      </c>
      <c r="N384" s="423">
        <f>N385+N397</f>
        <v>4577012.57</v>
      </c>
      <c r="O384" s="422">
        <f>O385+O397</f>
        <v>4597012.57</v>
      </c>
      <c r="P384" s="423">
        <f>P385+P397</f>
        <v>4597012.57</v>
      </c>
    </row>
    <row r="385" spans="1:16" ht="38.25">
      <c r="A385" s="380" t="s">
        <v>131</v>
      </c>
      <c r="B385" s="381" t="s">
        <v>136</v>
      </c>
      <c r="C385" s="471" t="s">
        <v>94</v>
      </c>
      <c r="D385" s="382" t="s">
        <v>97</v>
      </c>
      <c r="E385" s="198"/>
      <c r="F385" s="199"/>
      <c r="G385" s="126"/>
      <c r="H385" s="126"/>
      <c r="I385" s="199"/>
      <c r="J385" s="183"/>
      <c r="K385" s="393"/>
      <c r="L385" s="421">
        <f>L386</f>
        <v>3051274</v>
      </c>
      <c r="M385" s="422">
        <f>M386</f>
        <v>0</v>
      </c>
      <c r="N385" s="423">
        <f>N386</f>
        <v>4517012.57</v>
      </c>
      <c r="O385" s="422">
        <f>O386</f>
        <v>4517012.57</v>
      </c>
      <c r="P385" s="423">
        <f>P386</f>
        <v>4517012.57</v>
      </c>
    </row>
    <row r="386" spans="1:16" ht="25.5">
      <c r="A386" s="389" t="s">
        <v>38</v>
      </c>
      <c r="B386" s="381" t="s">
        <v>136</v>
      </c>
      <c r="C386" s="471" t="s">
        <v>94</v>
      </c>
      <c r="D386" s="382" t="s">
        <v>97</v>
      </c>
      <c r="E386" s="152" t="s">
        <v>8</v>
      </c>
      <c r="F386" s="153" t="s">
        <v>168</v>
      </c>
      <c r="G386" s="126" t="s">
        <v>168</v>
      </c>
      <c r="H386" s="126" t="s">
        <v>168</v>
      </c>
      <c r="I386" s="153" t="s">
        <v>169</v>
      </c>
      <c r="J386" s="128" t="s">
        <v>168</v>
      </c>
      <c r="K386" s="400"/>
      <c r="L386" s="154">
        <f>L387++L391</f>
        <v>3051274</v>
      </c>
      <c r="M386" s="72">
        <f>M387++M391</f>
        <v>0</v>
      </c>
      <c r="N386" s="73">
        <f>N387++N391</f>
        <v>4517012.57</v>
      </c>
      <c r="O386" s="72">
        <f>O387++O391</f>
        <v>4517012.57</v>
      </c>
      <c r="P386" s="73">
        <f>P387++P391</f>
        <v>4517012.57</v>
      </c>
    </row>
    <row r="387" spans="1:16" ht="12.75">
      <c r="A387" s="449" t="s">
        <v>39</v>
      </c>
      <c r="B387" s="381" t="s">
        <v>136</v>
      </c>
      <c r="C387" s="471" t="s">
        <v>94</v>
      </c>
      <c r="D387" s="382" t="s">
        <v>97</v>
      </c>
      <c r="E387" s="152" t="s">
        <v>8</v>
      </c>
      <c r="F387" s="153">
        <v>1</v>
      </c>
      <c r="G387" s="126" t="s">
        <v>168</v>
      </c>
      <c r="H387" s="126" t="s">
        <v>168</v>
      </c>
      <c r="I387" s="153" t="s">
        <v>169</v>
      </c>
      <c r="J387" s="128" t="s">
        <v>168</v>
      </c>
      <c r="K387" s="400"/>
      <c r="L387" s="154">
        <f aca="true" t="shared" si="83" ref="L387:N389">L388</f>
        <v>1708374</v>
      </c>
      <c r="M387" s="72">
        <f t="shared" si="83"/>
        <v>0</v>
      </c>
      <c r="N387" s="73">
        <f t="shared" si="83"/>
        <v>2792320.98</v>
      </c>
      <c r="O387" s="72">
        <f aca="true" t="shared" si="84" ref="O387:P389">O388</f>
        <v>2792320.98</v>
      </c>
      <c r="P387" s="73">
        <f t="shared" si="84"/>
        <v>2792320.98</v>
      </c>
    </row>
    <row r="388" spans="1:16" ht="25.5">
      <c r="A388" s="397" t="s">
        <v>40</v>
      </c>
      <c r="B388" s="381" t="s">
        <v>136</v>
      </c>
      <c r="C388" s="471" t="s">
        <v>94</v>
      </c>
      <c r="D388" s="382" t="s">
        <v>97</v>
      </c>
      <c r="E388" s="124" t="s">
        <v>8</v>
      </c>
      <c r="F388" s="126">
        <v>1</v>
      </c>
      <c r="G388" s="126" t="s">
        <v>168</v>
      </c>
      <c r="H388" s="126" t="s">
        <v>168</v>
      </c>
      <c r="I388" s="126" t="s">
        <v>36</v>
      </c>
      <c r="J388" s="128" t="s">
        <v>168</v>
      </c>
      <c r="K388" s="390"/>
      <c r="L388" s="154">
        <f t="shared" si="83"/>
        <v>1708374</v>
      </c>
      <c r="M388" s="72">
        <f t="shared" si="83"/>
        <v>0</v>
      </c>
      <c r="N388" s="73">
        <f t="shared" si="83"/>
        <v>2792320.98</v>
      </c>
      <c r="O388" s="72">
        <f t="shared" si="84"/>
        <v>2792320.98</v>
      </c>
      <c r="P388" s="73">
        <f t="shared" si="84"/>
        <v>2792320.98</v>
      </c>
    </row>
    <row r="389" spans="1:16" ht="51">
      <c r="A389" s="389" t="s">
        <v>92</v>
      </c>
      <c r="B389" s="381" t="s">
        <v>136</v>
      </c>
      <c r="C389" s="471" t="s">
        <v>94</v>
      </c>
      <c r="D389" s="382" t="s">
        <v>97</v>
      </c>
      <c r="E389" s="124" t="s">
        <v>8</v>
      </c>
      <c r="F389" s="126" t="s">
        <v>170</v>
      </c>
      <c r="G389" s="126" t="s">
        <v>168</v>
      </c>
      <c r="H389" s="126" t="s">
        <v>168</v>
      </c>
      <c r="I389" s="126" t="s">
        <v>36</v>
      </c>
      <c r="J389" s="128" t="s">
        <v>168</v>
      </c>
      <c r="K389" s="390">
        <v>100</v>
      </c>
      <c r="L389" s="154">
        <f t="shared" si="83"/>
        <v>1708374</v>
      </c>
      <c r="M389" s="72">
        <f t="shared" si="83"/>
        <v>0</v>
      </c>
      <c r="N389" s="73">
        <f t="shared" si="83"/>
        <v>2792320.98</v>
      </c>
      <c r="O389" s="72">
        <f t="shared" si="84"/>
        <v>2792320.98</v>
      </c>
      <c r="P389" s="73">
        <f t="shared" si="84"/>
        <v>2792320.98</v>
      </c>
    </row>
    <row r="390" spans="1:16" ht="25.5">
      <c r="A390" s="389" t="s">
        <v>82</v>
      </c>
      <c r="B390" s="381" t="s">
        <v>136</v>
      </c>
      <c r="C390" s="471" t="s">
        <v>94</v>
      </c>
      <c r="D390" s="382" t="s">
        <v>97</v>
      </c>
      <c r="E390" s="124" t="s">
        <v>8</v>
      </c>
      <c r="F390" s="126" t="s">
        <v>170</v>
      </c>
      <c r="G390" s="126" t="s">
        <v>168</v>
      </c>
      <c r="H390" s="126" t="s">
        <v>168</v>
      </c>
      <c r="I390" s="126" t="s">
        <v>36</v>
      </c>
      <c r="J390" s="128" t="s">
        <v>168</v>
      </c>
      <c r="K390" s="390">
        <v>120</v>
      </c>
      <c r="L390" s="154">
        <v>1708374</v>
      </c>
      <c r="M390" s="72">
        <v>0</v>
      </c>
      <c r="N390" s="73">
        <v>2792320.98</v>
      </c>
      <c r="O390" s="72">
        <v>2792320.98</v>
      </c>
      <c r="P390" s="73">
        <v>2792320.98</v>
      </c>
    </row>
    <row r="391" spans="1:16" ht="12.75">
      <c r="A391" s="449" t="s">
        <v>41</v>
      </c>
      <c r="B391" s="381" t="s">
        <v>136</v>
      </c>
      <c r="C391" s="471" t="s">
        <v>94</v>
      </c>
      <c r="D391" s="382" t="s">
        <v>97</v>
      </c>
      <c r="E391" s="152" t="s">
        <v>8</v>
      </c>
      <c r="F391" s="153" t="s">
        <v>166</v>
      </c>
      <c r="G391" s="126" t="s">
        <v>168</v>
      </c>
      <c r="H391" s="126" t="s">
        <v>168</v>
      </c>
      <c r="I391" s="153" t="s">
        <v>169</v>
      </c>
      <c r="J391" s="128" t="s">
        <v>168</v>
      </c>
      <c r="K391" s="400"/>
      <c r="L391" s="154">
        <f>L392</f>
        <v>1342900</v>
      </c>
      <c r="M391" s="72">
        <f>M392</f>
        <v>0</v>
      </c>
      <c r="N391" s="73">
        <f>N392</f>
        <v>1724691.59</v>
      </c>
      <c r="O391" s="72">
        <f>O392</f>
        <v>1724691.59</v>
      </c>
      <c r="P391" s="73">
        <f>P392</f>
        <v>1724691.59</v>
      </c>
    </row>
    <row r="392" spans="1:16" ht="25.5">
      <c r="A392" s="397" t="s">
        <v>40</v>
      </c>
      <c r="B392" s="381" t="s">
        <v>136</v>
      </c>
      <c r="C392" s="471" t="s">
        <v>94</v>
      </c>
      <c r="D392" s="382" t="s">
        <v>97</v>
      </c>
      <c r="E392" s="124" t="s">
        <v>8</v>
      </c>
      <c r="F392" s="126" t="s">
        <v>166</v>
      </c>
      <c r="G392" s="126" t="s">
        <v>168</v>
      </c>
      <c r="H392" s="126" t="s">
        <v>168</v>
      </c>
      <c r="I392" s="126" t="s">
        <v>36</v>
      </c>
      <c r="J392" s="128" t="s">
        <v>168</v>
      </c>
      <c r="K392" s="390"/>
      <c r="L392" s="154">
        <f>L393+L395</f>
        <v>1342900</v>
      </c>
      <c r="M392" s="72">
        <f>M393+M395</f>
        <v>0</v>
      </c>
      <c r="N392" s="73">
        <f>N393+N395</f>
        <v>1724691.59</v>
      </c>
      <c r="O392" s="72">
        <f>O393+O395</f>
        <v>1724691.59</v>
      </c>
      <c r="P392" s="73">
        <f>P393+P395</f>
        <v>1724691.59</v>
      </c>
    </row>
    <row r="393" spans="1:16" ht="51">
      <c r="A393" s="389" t="s">
        <v>92</v>
      </c>
      <c r="B393" s="381" t="s">
        <v>136</v>
      </c>
      <c r="C393" s="471" t="s">
        <v>94</v>
      </c>
      <c r="D393" s="382" t="s">
        <v>97</v>
      </c>
      <c r="E393" s="124" t="s">
        <v>8</v>
      </c>
      <c r="F393" s="126" t="s">
        <v>166</v>
      </c>
      <c r="G393" s="126" t="s">
        <v>168</v>
      </c>
      <c r="H393" s="126" t="s">
        <v>168</v>
      </c>
      <c r="I393" s="126" t="s">
        <v>36</v>
      </c>
      <c r="J393" s="128" t="s">
        <v>168</v>
      </c>
      <c r="K393" s="390">
        <v>100</v>
      </c>
      <c r="L393" s="154">
        <f>L394</f>
        <v>1153600</v>
      </c>
      <c r="M393" s="72">
        <f>M394</f>
        <v>0</v>
      </c>
      <c r="N393" s="73">
        <f>N394</f>
        <v>1655391.59</v>
      </c>
      <c r="O393" s="72">
        <f>O394</f>
        <v>1655391.59</v>
      </c>
      <c r="P393" s="73">
        <f>P394</f>
        <v>1655391.59</v>
      </c>
    </row>
    <row r="394" spans="1:16" ht="25.5">
      <c r="A394" s="389" t="s">
        <v>82</v>
      </c>
      <c r="B394" s="381" t="s">
        <v>136</v>
      </c>
      <c r="C394" s="471" t="s">
        <v>94</v>
      </c>
      <c r="D394" s="382" t="s">
        <v>97</v>
      </c>
      <c r="E394" s="124" t="s">
        <v>8</v>
      </c>
      <c r="F394" s="126" t="s">
        <v>166</v>
      </c>
      <c r="G394" s="126" t="s">
        <v>168</v>
      </c>
      <c r="H394" s="126" t="s">
        <v>168</v>
      </c>
      <c r="I394" s="126" t="s">
        <v>36</v>
      </c>
      <c r="J394" s="128" t="s">
        <v>168</v>
      </c>
      <c r="K394" s="390">
        <v>120</v>
      </c>
      <c r="L394" s="154">
        <v>1153600</v>
      </c>
      <c r="M394" s="72">
        <v>0</v>
      </c>
      <c r="N394" s="73">
        <v>1655391.59</v>
      </c>
      <c r="O394" s="72">
        <v>1655391.59</v>
      </c>
      <c r="P394" s="73">
        <v>1655391.59</v>
      </c>
    </row>
    <row r="395" spans="1:16" ht="25.5">
      <c r="A395" s="389" t="s">
        <v>73</v>
      </c>
      <c r="B395" s="381" t="s">
        <v>136</v>
      </c>
      <c r="C395" s="471" t="s">
        <v>94</v>
      </c>
      <c r="D395" s="382" t="s">
        <v>97</v>
      </c>
      <c r="E395" s="124" t="s">
        <v>8</v>
      </c>
      <c r="F395" s="126" t="s">
        <v>166</v>
      </c>
      <c r="G395" s="126" t="s">
        <v>168</v>
      </c>
      <c r="H395" s="126" t="s">
        <v>168</v>
      </c>
      <c r="I395" s="126" t="s">
        <v>36</v>
      </c>
      <c r="J395" s="128" t="s">
        <v>168</v>
      </c>
      <c r="K395" s="390" t="s">
        <v>74</v>
      </c>
      <c r="L395" s="154">
        <f>L396</f>
        <v>189300</v>
      </c>
      <c r="M395" s="72">
        <f>M396</f>
        <v>0</v>
      </c>
      <c r="N395" s="73">
        <f>N396</f>
        <v>69300</v>
      </c>
      <c r="O395" s="72">
        <f>O396</f>
        <v>69300</v>
      </c>
      <c r="P395" s="73">
        <f>P396</f>
        <v>69300</v>
      </c>
    </row>
    <row r="396" spans="1:16" ht="25.5">
      <c r="A396" s="389" t="s">
        <v>75</v>
      </c>
      <c r="B396" s="381" t="s">
        <v>136</v>
      </c>
      <c r="C396" s="471" t="s">
        <v>94</v>
      </c>
      <c r="D396" s="382" t="s">
        <v>97</v>
      </c>
      <c r="E396" s="124" t="s">
        <v>8</v>
      </c>
      <c r="F396" s="126" t="s">
        <v>166</v>
      </c>
      <c r="G396" s="126" t="s">
        <v>168</v>
      </c>
      <c r="H396" s="126" t="s">
        <v>168</v>
      </c>
      <c r="I396" s="126" t="s">
        <v>36</v>
      </c>
      <c r="J396" s="128" t="s">
        <v>168</v>
      </c>
      <c r="K396" s="390" t="s">
        <v>76</v>
      </c>
      <c r="L396" s="154">
        <v>189300</v>
      </c>
      <c r="M396" s="72">
        <v>0</v>
      </c>
      <c r="N396" s="73">
        <v>69300</v>
      </c>
      <c r="O396" s="72">
        <v>69300</v>
      </c>
      <c r="P396" s="73">
        <v>69300</v>
      </c>
    </row>
    <row r="397" spans="1:16" ht="12.75">
      <c r="A397" s="380" t="s">
        <v>124</v>
      </c>
      <c r="B397" s="381" t="s">
        <v>136</v>
      </c>
      <c r="C397" s="382" t="s">
        <v>94</v>
      </c>
      <c r="D397" s="382" t="s">
        <v>147</v>
      </c>
      <c r="E397" s="198"/>
      <c r="F397" s="199"/>
      <c r="G397" s="126"/>
      <c r="H397" s="126"/>
      <c r="I397" s="199"/>
      <c r="J397" s="183"/>
      <c r="K397" s="393"/>
      <c r="L397" s="421">
        <f aca="true" t="shared" si="85" ref="L397:N400">L398</f>
        <v>60000</v>
      </c>
      <c r="M397" s="422">
        <f t="shared" si="85"/>
        <v>0</v>
      </c>
      <c r="N397" s="423">
        <f t="shared" si="85"/>
        <v>60000</v>
      </c>
      <c r="O397" s="422">
        <f aca="true" t="shared" si="86" ref="O397:P400">O398</f>
        <v>80000</v>
      </c>
      <c r="P397" s="423">
        <f t="shared" si="86"/>
        <v>80000</v>
      </c>
    </row>
    <row r="398" spans="1:16" ht="25.5">
      <c r="A398" s="401" t="s">
        <v>66</v>
      </c>
      <c r="B398" s="381" t="s">
        <v>136</v>
      </c>
      <c r="C398" s="382" t="s">
        <v>94</v>
      </c>
      <c r="D398" s="382" t="s">
        <v>147</v>
      </c>
      <c r="E398" s="124" t="s">
        <v>12</v>
      </c>
      <c r="F398" s="126" t="s">
        <v>168</v>
      </c>
      <c r="G398" s="126" t="s">
        <v>168</v>
      </c>
      <c r="H398" s="126" t="s">
        <v>168</v>
      </c>
      <c r="I398" s="126" t="s">
        <v>169</v>
      </c>
      <c r="J398" s="128" t="s">
        <v>168</v>
      </c>
      <c r="K398" s="393"/>
      <c r="L398" s="421">
        <f t="shared" si="85"/>
        <v>60000</v>
      </c>
      <c r="M398" s="422">
        <f t="shared" si="85"/>
        <v>0</v>
      </c>
      <c r="N398" s="423">
        <f t="shared" si="85"/>
        <v>60000</v>
      </c>
      <c r="O398" s="422">
        <f t="shared" si="86"/>
        <v>80000</v>
      </c>
      <c r="P398" s="423">
        <f t="shared" si="86"/>
        <v>80000</v>
      </c>
    </row>
    <row r="399" spans="1:16" ht="17.25" customHeight="1">
      <c r="A399" s="380" t="s">
        <v>68</v>
      </c>
      <c r="B399" s="381" t="s">
        <v>136</v>
      </c>
      <c r="C399" s="382" t="s">
        <v>94</v>
      </c>
      <c r="D399" s="382" t="s">
        <v>147</v>
      </c>
      <c r="E399" s="124" t="s">
        <v>12</v>
      </c>
      <c r="F399" s="126" t="s">
        <v>168</v>
      </c>
      <c r="G399" s="126" t="s">
        <v>168</v>
      </c>
      <c r="H399" s="126" t="s">
        <v>168</v>
      </c>
      <c r="I399" s="126" t="s">
        <v>13</v>
      </c>
      <c r="J399" s="128" t="s">
        <v>168</v>
      </c>
      <c r="K399" s="390"/>
      <c r="L399" s="154">
        <f t="shared" si="85"/>
        <v>60000</v>
      </c>
      <c r="M399" s="72">
        <f t="shared" si="85"/>
        <v>0</v>
      </c>
      <c r="N399" s="73">
        <f t="shared" si="85"/>
        <v>60000</v>
      </c>
      <c r="O399" s="72">
        <f t="shared" si="86"/>
        <v>80000</v>
      </c>
      <c r="P399" s="73">
        <f t="shared" si="86"/>
        <v>80000</v>
      </c>
    </row>
    <row r="400" spans="1:16" ht="25.5">
      <c r="A400" s="389" t="s">
        <v>73</v>
      </c>
      <c r="B400" s="381" t="s">
        <v>136</v>
      </c>
      <c r="C400" s="382" t="s">
        <v>94</v>
      </c>
      <c r="D400" s="382" t="s">
        <v>147</v>
      </c>
      <c r="E400" s="124" t="s">
        <v>12</v>
      </c>
      <c r="F400" s="126" t="s">
        <v>168</v>
      </c>
      <c r="G400" s="126" t="s">
        <v>168</v>
      </c>
      <c r="H400" s="126" t="s">
        <v>168</v>
      </c>
      <c r="I400" s="126" t="s">
        <v>13</v>
      </c>
      <c r="J400" s="128" t="s">
        <v>168</v>
      </c>
      <c r="K400" s="390">
        <v>200</v>
      </c>
      <c r="L400" s="154">
        <f t="shared" si="85"/>
        <v>60000</v>
      </c>
      <c r="M400" s="72">
        <f t="shared" si="85"/>
        <v>0</v>
      </c>
      <c r="N400" s="73">
        <f t="shared" si="85"/>
        <v>60000</v>
      </c>
      <c r="O400" s="72">
        <f t="shared" si="86"/>
        <v>80000</v>
      </c>
      <c r="P400" s="73">
        <f t="shared" si="86"/>
        <v>80000</v>
      </c>
    </row>
    <row r="401" spans="1:16" ht="25.5">
      <c r="A401" s="426" t="s">
        <v>75</v>
      </c>
      <c r="B401" s="462" t="s">
        <v>136</v>
      </c>
      <c r="C401" s="463" t="s">
        <v>94</v>
      </c>
      <c r="D401" s="463" t="s">
        <v>147</v>
      </c>
      <c r="E401" s="236" t="s">
        <v>12</v>
      </c>
      <c r="F401" s="204" t="s">
        <v>168</v>
      </c>
      <c r="G401" s="204" t="s">
        <v>168</v>
      </c>
      <c r="H401" s="204" t="s">
        <v>168</v>
      </c>
      <c r="I401" s="204" t="s">
        <v>13</v>
      </c>
      <c r="J401" s="229" t="s">
        <v>168</v>
      </c>
      <c r="K401" s="464">
        <v>240</v>
      </c>
      <c r="L401" s="295">
        <v>60000</v>
      </c>
      <c r="M401" s="407">
        <v>0</v>
      </c>
      <c r="N401" s="408">
        <v>60000</v>
      </c>
      <c r="O401" s="407">
        <v>80000</v>
      </c>
      <c r="P401" s="408">
        <v>80000</v>
      </c>
    </row>
    <row r="402" spans="1:16" s="419" customFormat="1" ht="21" customHeight="1">
      <c r="A402" s="465" t="s">
        <v>146</v>
      </c>
      <c r="B402" s="381" t="s">
        <v>144</v>
      </c>
      <c r="C402" s="472"/>
      <c r="D402" s="472"/>
      <c r="E402" s="473"/>
      <c r="F402" s="473"/>
      <c r="G402" s="314"/>
      <c r="H402" s="314"/>
      <c r="I402" s="473"/>
      <c r="J402" s="474"/>
      <c r="K402" s="470"/>
      <c r="L402" s="416" t="e">
        <f>L403+L424+L430+L464+L470</f>
        <v>#REF!</v>
      </c>
      <c r="M402" s="417" t="e">
        <f>M403+M424+M430+M464+M470</f>
        <v>#REF!</v>
      </c>
      <c r="N402" s="418">
        <f>N403+N424+N430+N464+N470</f>
        <v>43216473.199999996</v>
      </c>
      <c r="O402" s="417">
        <f>O403+O424+O430+O464+O470</f>
        <v>55815254.190000005</v>
      </c>
      <c r="P402" s="418">
        <f>P403+P424+P430+P464+P470</f>
        <v>58217015.79000001</v>
      </c>
    </row>
    <row r="403" spans="1:16" ht="12.75">
      <c r="A403" s="420" t="s">
        <v>109</v>
      </c>
      <c r="B403" s="381" t="s">
        <v>144</v>
      </c>
      <c r="C403" s="396" t="s">
        <v>94</v>
      </c>
      <c r="D403" s="396"/>
      <c r="E403" s="159"/>
      <c r="F403" s="159"/>
      <c r="G403" s="126"/>
      <c r="H403" s="126"/>
      <c r="I403" s="159"/>
      <c r="J403" s="398"/>
      <c r="K403" s="399"/>
      <c r="L403" s="421">
        <f>L404</f>
        <v>25482862.16</v>
      </c>
      <c r="M403" s="422">
        <f>M404</f>
        <v>-4736052.88</v>
      </c>
      <c r="N403" s="423">
        <f>N404</f>
        <v>27841557.330000002</v>
      </c>
      <c r="O403" s="422">
        <f>O404</f>
        <v>28693246.95</v>
      </c>
      <c r="P403" s="423">
        <f>P404</f>
        <v>28798449.66</v>
      </c>
    </row>
    <row r="404" spans="1:16" ht="12.75">
      <c r="A404" s="380" t="s">
        <v>124</v>
      </c>
      <c r="B404" s="381" t="s">
        <v>144</v>
      </c>
      <c r="C404" s="382" t="s">
        <v>94</v>
      </c>
      <c r="D404" s="382" t="s">
        <v>147</v>
      </c>
      <c r="E404" s="199"/>
      <c r="F404" s="199"/>
      <c r="G404" s="126"/>
      <c r="H404" s="126"/>
      <c r="I404" s="199"/>
      <c r="J404" s="183"/>
      <c r="K404" s="393"/>
      <c r="L404" s="421">
        <f>L416+L410+L405</f>
        <v>25482862.16</v>
      </c>
      <c r="M404" s="422">
        <f>M416+M410+M405</f>
        <v>-4736052.88</v>
      </c>
      <c r="N404" s="423">
        <f>N416+N410+N405</f>
        <v>27841557.330000002</v>
      </c>
      <c r="O404" s="422">
        <f>O416+O410+O405</f>
        <v>28693246.95</v>
      </c>
      <c r="P404" s="423">
        <f>P416+P410+P405</f>
        <v>28798449.66</v>
      </c>
    </row>
    <row r="405" spans="1:16" ht="51">
      <c r="A405" s="449" t="s">
        <v>373</v>
      </c>
      <c r="B405" s="381" t="s">
        <v>144</v>
      </c>
      <c r="C405" s="382" t="s">
        <v>94</v>
      </c>
      <c r="D405" s="382" t="s">
        <v>147</v>
      </c>
      <c r="E405" s="126" t="s">
        <v>101</v>
      </c>
      <c r="F405" s="126" t="s">
        <v>168</v>
      </c>
      <c r="G405" s="126" t="s">
        <v>168</v>
      </c>
      <c r="H405" s="126" t="s">
        <v>168</v>
      </c>
      <c r="I405" s="126" t="s">
        <v>169</v>
      </c>
      <c r="J405" s="128" t="s">
        <v>168</v>
      </c>
      <c r="K405" s="390"/>
      <c r="L405" s="154">
        <f aca="true" t="shared" si="87" ref="L405:N408">L406</f>
        <v>600000</v>
      </c>
      <c r="M405" s="72">
        <f t="shared" si="87"/>
        <v>0</v>
      </c>
      <c r="N405" s="73">
        <f t="shared" si="87"/>
        <v>600000</v>
      </c>
      <c r="O405" s="72">
        <f aca="true" t="shared" si="88" ref="O405:P408">O406</f>
        <v>600000</v>
      </c>
      <c r="P405" s="73">
        <f t="shared" si="88"/>
        <v>600000</v>
      </c>
    </row>
    <row r="406" spans="1:16" ht="38.25">
      <c r="A406" s="449" t="s">
        <v>383</v>
      </c>
      <c r="B406" s="381" t="s">
        <v>144</v>
      </c>
      <c r="C406" s="382" t="s">
        <v>94</v>
      </c>
      <c r="D406" s="382" t="s">
        <v>147</v>
      </c>
      <c r="E406" s="126" t="s">
        <v>101</v>
      </c>
      <c r="F406" s="126" t="s">
        <v>170</v>
      </c>
      <c r="G406" s="126" t="s">
        <v>168</v>
      </c>
      <c r="H406" s="126" t="s">
        <v>168</v>
      </c>
      <c r="I406" s="126" t="s">
        <v>169</v>
      </c>
      <c r="J406" s="128" t="s">
        <v>168</v>
      </c>
      <c r="K406" s="390"/>
      <c r="L406" s="154">
        <f t="shared" si="87"/>
        <v>600000</v>
      </c>
      <c r="M406" s="72">
        <f t="shared" si="87"/>
        <v>0</v>
      </c>
      <c r="N406" s="73">
        <f t="shared" si="87"/>
        <v>600000</v>
      </c>
      <c r="O406" s="72">
        <f t="shared" si="88"/>
        <v>600000</v>
      </c>
      <c r="P406" s="73">
        <f t="shared" si="88"/>
        <v>600000</v>
      </c>
    </row>
    <row r="407" spans="1:16" ht="25.5">
      <c r="A407" s="380" t="s">
        <v>67</v>
      </c>
      <c r="B407" s="381" t="s">
        <v>144</v>
      </c>
      <c r="C407" s="382" t="s">
        <v>94</v>
      </c>
      <c r="D407" s="382" t="s">
        <v>147</v>
      </c>
      <c r="E407" s="136" t="s">
        <v>101</v>
      </c>
      <c r="F407" s="136" t="s">
        <v>170</v>
      </c>
      <c r="G407" s="126" t="s">
        <v>168</v>
      </c>
      <c r="H407" s="126" t="s">
        <v>168</v>
      </c>
      <c r="I407" s="136" t="s">
        <v>24</v>
      </c>
      <c r="J407" s="128" t="s">
        <v>168</v>
      </c>
      <c r="K407" s="390"/>
      <c r="L407" s="154">
        <f t="shared" si="87"/>
        <v>600000</v>
      </c>
      <c r="M407" s="72">
        <f t="shared" si="87"/>
        <v>0</v>
      </c>
      <c r="N407" s="73">
        <f>N408</f>
        <v>600000</v>
      </c>
      <c r="O407" s="72">
        <f>O408</f>
        <v>600000</v>
      </c>
      <c r="P407" s="73">
        <f>P408</f>
        <v>600000</v>
      </c>
    </row>
    <row r="408" spans="1:16" ht="25.5">
      <c r="A408" s="389" t="s">
        <v>73</v>
      </c>
      <c r="B408" s="381" t="s">
        <v>144</v>
      </c>
      <c r="C408" s="382" t="s">
        <v>94</v>
      </c>
      <c r="D408" s="382" t="s">
        <v>147</v>
      </c>
      <c r="E408" s="136" t="s">
        <v>101</v>
      </c>
      <c r="F408" s="136" t="s">
        <v>170</v>
      </c>
      <c r="G408" s="126" t="s">
        <v>168</v>
      </c>
      <c r="H408" s="126" t="s">
        <v>168</v>
      </c>
      <c r="I408" s="136" t="s">
        <v>24</v>
      </c>
      <c r="J408" s="128" t="s">
        <v>168</v>
      </c>
      <c r="K408" s="390">
        <v>200</v>
      </c>
      <c r="L408" s="154">
        <f t="shared" si="87"/>
        <v>600000</v>
      </c>
      <c r="M408" s="72">
        <f t="shared" si="87"/>
        <v>0</v>
      </c>
      <c r="N408" s="73">
        <f t="shared" si="87"/>
        <v>600000</v>
      </c>
      <c r="O408" s="72">
        <f t="shared" si="88"/>
        <v>600000</v>
      </c>
      <c r="P408" s="73">
        <f t="shared" si="88"/>
        <v>600000</v>
      </c>
    </row>
    <row r="409" spans="1:16" ht="25.5">
      <c r="A409" s="389" t="s">
        <v>75</v>
      </c>
      <c r="B409" s="381" t="s">
        <v>144</v>
      </c>
      <c r="C409" s="382" t="s">
        <v>94</v>
      </c>
      <c r="D409" s="382" t="s">
        <v>147</v>
      </c>
      <c r="E409" s="136" t="s">
        <v>101</v>
      </c>
      <c r="F409" s="136" t="s">
        <v>170</v>
      </c>
      <c r="G409" s="126" t="s">
        <v>168</v>
      </c>
      <c r="H409" s="126" t="s">
        <v>168</v>
      </c>
      <c r="I409" s="136" t="s">
        <v>24</v>
      </c>
      <c r="J409" s="128" t="s">
        <v>168</v>
      </c>
      <c r="K409" s="390">
        <v>240</v>
      </c>
      <c r="L409" s="154">
        <v>600000</v>
      </c>
      <c r="M409" s="72">
        <v>0</v>
      </c>
      <c r="N409" s="73">
        <v>600000</v>
      </c>
      <c r="O409" s="72">
        <v>600000</v>
      </c>
      <c r="P409" s="73">
        <v>600000</v>
      </c>
    </row>
    <row r="410" spans="1:16" ht="38.25">
      <c r="A410" s="449" t="s">
        <v>385</v>
      </c>
      <c r="B410" s="381" t="s">
        <v>144</v>
      </c>
      <c r="C410" s="382" t="s">
        <v>94</v>
      </c>
      <c r="D410" s="382" t="s">
        <v>147</v>
      </c>
      <c r="E410" s="136" t="s">
        <v>194</v>
      </c>
      <c r="F410" s="136" t="s">
        <v>168</v>
      </c>
      <c r="G410" s="126" t="s">
        <v>168</v>
      </c>
      <c r="H410" s="126" t="s">
        <v>168</v>
      </c>
      <c r="I410" s="136" t="s">
        <v>169</v>
      </c>
      <c r="J410" s="128" t="s">
        <v>168</v>
      </c>
      <c r="K410" s="390"/>
      <c r="L410" s="421">
        <f>L411</f>
        <v>6990162.16</v>
      </c>
      <c r="M410" s="422">
        <f>M411</f>
        <v>-4736052.88</v>
      </c>
      <c r="N410" s="423">
        <f>N411</f>
        <v>2510121.28</v>
      </c>
      <c r="O410" s="422">
        <f>O411</f>
        <v>3361810.9</v>
      </c>
      <c r="P410" s="423">
        <f>P411</f>
        <v>3467013.61</v>
      </c>
    </row>
    <row r="411" spans="1:16" ht="25.5">
      <c r="A411" s="380" t="s">
        <v>67</v>
      </c>
      <c r="B411" s="381" t="s">
        <v>144</v>
      </c>
      <c r="C411" s="382" t="s">
        <v>94</v>
      </c>
      <c r="D411" s="382" t="s">
        <v>147</v>
      </c>
      <c r="E411" s="136" t="s">
        <v>194</v>
      </c>
      <c r="F411" s="136" t="s">
        <v>168</v>
      </c>
      <c r="G411" s="126" t="s">
        <v>168</v>
      </c>
      <c r="H411" s="126" t="s">
        <v>168</v>
      </c>
      <c r="I411" s="136" t="s">
        <v>24</v>
      </c>
      <c r="J411" s="128" t="s">
        <v>168</v>
      </c>
      <c r="K411" s="390"/>
      <c r="L411" s="421">
        <f>L412+L414</f>
        <v>6990162.16</v>
      </c>
      <c r="M411" s="422">
        <f>M412+M414</f>
        <v>-4736052.88</v>
      </c>
      <c r="N411" s="423">
        <f>N412+N414</f>
        <v>2510121.28</v>
      </c>
      <c r="O411" s="422">
        <f>O412+O414</f>
        <v>3361810.9</v>
      </c>
      <c r="P411" s="423">
        <f>P412+P414</f>
        <v>3467013.61</v>
      </c>
    </row>
    <row r="412" spans="1:16" ht="25.5">
      <c r="A412" s="389" t="s">
        <v>73</v>
      </c>
      <c r="B412" s="381" t="s">
        <v>144</v>
      </c>
      <c r="C412" s="382" t="s">
        <v>94</v>
      </c>
      <c r="D412" s="382" t="s">
        <v>147</v>
      </c>
      <c r="E412" s="136" t="s">
        <v>194</v>
      </c>
      <c r="F412" s="136" t="s">
        <v>168</v>
      </c>
      <c r="G412" s="126" t="s">
        <v>168</v>
      </c>
      <c r="H412" s="126" t="s">
        <v>168</v>
      </c>
      <c r="I412" s="136" t="s">
        <v>24</v>
      </c>
      <c r="J412" s="128" t="s">
        <v>168</v>
      </c>
      <c r="K412" s="390">
        <v>200</v>
      </c>
      <c r="L412" s="421">
        <f>L413</f>
        <v>6920162.16</v>
      </c>
      <c r="M412" s="422">
        <f>M413</f>
        <v>-4736052.88</v>
      </c>
      <c r="N412" s="423">
        <f>N413</f>
        <v>2440121.28</v>
      </c>
      <c r="O412" s="422">
        <f>O413</f>
        <v>3291810.9</v>
      </c>
      <c r="P412" s="423">
        <f>P413</f>
        <v>3397013.61</v>
      </c>
    </row>
    <row r="413" spans="1:16" ht="25.5">
      <c r="A413" s="389" t="s">
        <v>75</v>
      </c>
      <c r="B413" s="381" t="s">
        <v>144</v>
      </c>
      <c r="C413" s="382" t="s">
        <v>94</v>
      </c>
      <c r="D413" s="382" t="s">
        <v>147</v>
      </c>
      <c r="E413" s="136" t="s">
        <v>194</v>
      </c>
      <c r="F413" s="136" t="s">
        <v>168</v>
      </c>
      <c r="G413" s="126" t="s">
        <v>168</v>
      </c>
      <c r="H413" s="126" t="s">
        <v>168</v>
      </c>
      <c r="I413" s="136" t="s">
        <v>24</v>
      </c>
      <c r="J413" s="128" t="s">
        <v>168</v>
      </c>
      <c r="K413" s="390">
        <v>240</v>
      </c>
      <c r="L413" s="154">
        <f>3402361.34-70000+3587800.82</f>
        <v>6920162.16</v>
      </c>
      <c r="M413" s="72">
        <f>-2099536.43-2287630.73-348885.72</f>
        <v>-4736052.88</v>
      </c>
      <c r="N413" s="73">
        <f>2320121.28+120000</f>
        <v>2440121.28</v>
      </c>
      <c r="O413" s="72">
        <f>3291810.9</f>
        <v>3291810.9</v>
      </c>
      <c r="P413" s="73">
        <v>3397013.61</v>
      </c>
    </row>
    <row r="414" spans="1:16" ht="12.75">
      <c r="A414" s="389" t="s">
        <v>83</v>
      </c>
      <c r="B414" s="381" t="s">
        <v>144</v>
      </c>
      <c r="C414" s="471" t="s">
        <v>94</v>
      </c>
      <c r="D414" s="382" t="s">
        <v>147</v>
      </c>
      <c r="E414" s="136" t="s">
        <v>194</v>
      </c>
      <c r="F414" s="136" t="s">
        <v>168</v>
      </c>
      <c r="G414" s="126" t="s">
        <v>168</v>
      </c>
      <c r="H414" s="126" t="s">
        <v>168</v>
      </c>
      <c r="I414" s="136" t="s">
        <v>24</v>
      </c>
      <c r="J414" s="128" t="s">
        <v>168</v>
      </c>
      <c r="K414" s="390" t="s">
        <v>84</v>
      </c>
      <c r="L414" s="421">
        <f>L415</f>
        <v>70000</v>
      </c>
      <c r="M414" s="422">
        <f>M415</f>
        <v>0</v>
      </c>
      <c r="N414" s="423">
        <f>N415</f>
        <v>70000</v>
      </c>
      <c r="O414" s="422">
        <f>O415</f>
        <v>70000</v>
      </c>
      <c r="P414" s="423">
        <f>P415</f>
        <v>70000</v>
      </c>
    </row>
    <row r="415" spans="1:16" ht="12.75">
      <c r="A415" s="389" t="s">
        <v>85</v>
      </c>
      <c r="B415" s="381" t="s">
        <v>144</v>
      </c>
      <c r="C415" s="471" t="s">
        <v>94</v>
      </c>
      <c r="D415" s="382" t="s">
        <v>147</v>
      </c>
      <c r="E415" s="136" t="s">
        <v>194</v>
      </c>
      <c r="F415" s="136" t="s">
        <v>168</v>
      </c>
      <c r="G415" s="126" t="s">
        <v>168</v>
      </c>
      <c r="H415" s="126" t="s">
        <v>168</v>
      </c>
      <c r="I415" s="136" t="s">
        <v>24</v>
      </c>
      <c r="J415" s="128" t="s">
        <v>168</v>
      </c>
      <c r="K415" s="390" t="s">
        <v>86</v>
      </c>
      <c r="L415" s="421">
        <v>70000</v>
      </c>
      <c r="M415" s="422">
        <v>0</v>
      </c>
      <c r="N415" s="73">
        <v>70000</v>
      </c>
      <c r="O415" s="72">
        <v>70000</v>
      </c>
      <c r="P415" s="73">
        <v>70000</v>
      </c>
    </row>
    <row r="416" spans="1:16" ht="25.5">
      <c r="A416" s="389" t="s">
        <v>43</v>
      </c>
      <c r="B416" s="381" t="s">
        <v>144</v>
      </c>
      <c r="C416" s="382" t="s">
        <v>94</v>
      </c>
      <c r="D416" s="382" t="s">
        <v>147</v>
      </c>
      <c r="E416" s="126" t="s">
        <v>10</v>
      </c>
      <c r="F416" s="126" t="s">
        <v>168</v>
      </c>
      <c r="G416" s="126" t="s">
        <v>168</v>
      </c>
      <c r="H416" s="126" t="s">
        <v>168</v>
      </c>
      <c r="I416" s="126" t="s">
        <v>169</v>
      </c>
      <c r="J416" s="128" t="s">
        <v>168</v>
      </c>
      <c r="K416" s="390"/>
      <c r="L416" s="421">
        <f>L417</f>
        <v>17892700</v>
      </c>
      <c r="M416" s="422">
        <f>M417</f>
        <v>0</v>
      </c>
      <c r="N416" s="423">
        <f>N417</f>
        <v>24731436.05</v>
      </c>
      <c r="O416" s="422">
        <f>O417</f>
        <v>24731436.05</v>
      </c>
      <c r="P416" s="423">
        <f>P417</f>
        <v>24731436.05</v>
      </c>
    </row>
    <row r="417" spans="1:16" ht="25.5">
      <c r="A417" s="397" t="s">
        <v>40</v>
      </c>
      <c r="B417" s="381" t="s">
        <v>144</v>
      </c>
      <c r="C417" s="382" t="s">
        <v>94</v>
      </c>
      <c r="D417" s="382" t="s">
        <v>147</v>
      </c>
      <c r="E417" s="126" t="s">
        <v>10</v>
      </c>
      <c r="F417" s="126" t="s">
        <v>168</v>
      </c>
      <c r="G417" s="126" t="s">
        <v>168</v>
      </c>
      <c r="H417" s="126" t="s">
        <v>168</v>
      </c>
      <c r="I417" s="126" t="s">
        <v>36</v>
      </c>
      <c r="J417" s="128" t="s">
        <v>168</v>
      </c>
      <c r="K417" s="390"/>
      <c r="L417" s="154">
        <f>L418+L420+L422</f>
        <v>17892700</v>
      </c>
      <c r="M417" s="72">
        <f>M418+M420+M422</f>
        <v>0</v>
      </c>
      <c r="N417" s="73">
        <f>N418+N420+N422</f>
        <v>24731436.05</v>
      </c>
      <c r="O417" s="72">
        <f>O418+O420+O422</f>
        <v>24731436.05</v>
      </c>
      <c r="P417" s="73">
        <f>P418+P420+P422</f>
        <v>24731436.05</v>
      </c>
    </row>
    <row r="418" spans="1:16" ht="51">
      <c r="A418" s="389" t="s">
        <v>92</v>
      </c>
      <c r="B418" s="381" t="s">
        <v>144</v>
      </c>
      <c r="C418" s="382" t="s">
        <v>94</v>
      </c>
      <c r="D418" s="382" t="s">
        <v>147</v>
      </c>
      <c r="E418" s="126" t="s">
        <v>10</v>
      </c>
      <c r="F418" s="126" t="s">
        <v>168</v>
      </c>
      <c r="G418" s="126" t="s">
        <v>168</v>
      </c>
      <c r="H418" s="126" t="s">
        <v>168</v>
      </c>
      <c r="I418" s="126" t="s">
        <v>36</v>
      </c>
      <c r="J418" s="128" t="s">
        <v>168</v>
      </c>
      <c r="K418" s="390">
        <v>100</v>
      </c>
      <c r="L418" s="154">
        <f>L419</f>
        <v>17407700</v>
      </c>
      <c r="M418" s="72">
        <f>M419</f>
        <v>0</v>
      </c>
      <c r="N418" s="73">
        <f>N419</f>
        <v>24246436.05</v>
      </c>
      <c r="O418" s="72">
        <f>O419</f>
        <v>24246436.05</v>
      </c>
      <c r="P418" s="73">
        <f>P419</f>
        <v>24246436.05</v>
      </c>
    </row>
    <row r="419" spans="1:16" ht="25.5">
      <c r="A419" s="389" t="s">
        <v>82</v>
      </c>
      <c r="B419" s="381" t="s">
        <v>144</v>
      </c>
      <c r="C419" s="382" t="s">
        <v>94</v>
      </c>
      <c r="D419" s="382" t="s">
        <v>147</v>
      </c>
      <c r="E419" s="126" t="s">
        <v>10</v>
      </c>
      <c r="F419" s="126" t="s">
        <v>168</v>
      </c>
      <c r="G419" s="126" t="s">
        <v>168</v>
      </c>
      <c r="H419" s="126" t="s">
        <v>168</v>
      </c>
      <c r="I419" s="126" t="s">
        <v>36</v>
      </c>
      <c r="J419" s="128" t="s">
        <v>168</v>
      </c>
      <c r="K419" s="390">
        <v>120</v>
      </c>
      <c r="L419" s="154">
        <v>17407700</v>
      </c>
      <c r="M419" s="72">
        <v>0</v>
      </c>
      <c r="N419" s="73">
        <v>24246436.05</v>
      </c>
      <c r="O419" s="72">
        <v>24246436.05</v>
      </c>
      <c r="P419" s="73">
        <v>24246436.05</v>
      </c>
    </row>
    <row r="420" spans="1:16" ht="25.5">
      <c r="A420" s="389" t="s">
        <v>73</v>
      </c>
      <c r="B420" s="381" t="s">
        <v>144</v>
      </c>
      <c r="C420" s="382" t="s">
        <v>94</v>
      </c>
      <c r="D420" s="382" t="s">
        <v>147</v>
      </c>
      <c r="E420" s="126" t="s">
        <v>10</v>
      </c>
      <c r="F420" s="126" t="s">
        <v>168</v>
      </c>
      <c r="G420" s="126" t="s">
        <v>168</v>
      </c>
      <c r="H420" s="126" t="s">
        <v>168</v>
      </c>
      <c r="I420" s="126" t="s">
        <v>36</v>
      </c>
      <c r="J420" s="128" t="s">
        <v>168</v>
      </c>
      <c r="K420" s="390">
        <v>200</v>
      </c>
      <c r="L420" s="154">
        <f>L421</f>
        <v>485000</v>
      </c>
      <c r="M420" s="72">
        <f>M421</f>
        <v>0</v>
      </c>
      <c r="N420" s="73">
        <f>N421</f>
        <v>485000</v>
      </c>
      <c r="O420" s="72">
        <f>O421</f>
        <v>485000</v>
      </c>
      <c r="P420" s="73">
        <f>P421</f>
        <v>485000</v>
      </c>
    </row>
    <row r="421" spans="1:16" ht="25.5">
      <c r="A421" s="389" t="s">
        <v>75</v>
      </c>
      <c r="B421" s="381" t="s">
        <v>144</v>
      </c>
      <c r="C421" s="382" t="s">
        <v>94</v>
      </c>
      <c r="D421" s="382" t="s">
        <v>147</v>
      </c>
      <c r="E421" s="126" t="s">
        <v>10</v>
      </c>
      <c r="F421" s="126" t="s">
        <v>168</v>
      </c>
      <c r="G421" s="126" t="s">
        <v>168</v>
      </c>
      <c r="H421" s="126" t="s">
        <v>168</v>
      </c>
      <c r="I421" s="126" t="s">
        <v>36</v>
      </c>
      <c r="J421" s="128" t="s">
        <v>168</v>
      </c>
      <c r="K421" s="390">
        <v>240</v>
      </c>
      <c r="L421" s="154">
        <v>485000</v>
      </c>
      <c r="M421" s="72">
        <v>0</v>
      </c>
      <c r="N421" s="73">
        <v>485000</v>
      </c>
      <c r="O421" s="72">
        <v>485000</v>
      </c>
      <c r="P421" s="73">
        <v>485000</v>
      </c>
    </row>
    <row r="422" spans="1:16" ht="12.75" customHeight="1" hidden="1">
      <c r="A422" s="389" t="s">
        <v>83</v>
      </c>
      <c r="B422" s="381" t="s">
        <v>144</v>
      </c>
      <c r="C422" s="382" t="s">
        <v>94</v>
      </c>
      <c r="D422" s="382" t="s">
        <v>147</v>
      </c>
      <c r="E422" s="126" t="s">
        <v>10</v>
      </c>
      <c r="F422" s="126" t="s">
        <v>168</v>
      </c>
      <c r="G422" s="126" t="s">
        <v>168</v>
      </c>
      <c r="H422" s="126" t="s">
        <v>168</v>
      </c>
      <c r="I422" s="126" t="s">
        <v>36</v>
      </c>
      <c r="J422" s="128" t="s">
        <v>168</v>
      </c>
      <c r="K422" s="390" t="s">
        <v>84</v>
      </c>
      <c r="L422" s="154">
        <f>L423</f>
        <v>0</v>
      </c>
      <c r="M422" s="72">
        <f>M423</f>
        <v>0</v>
      </c>
      <c r="N422" s="73">
        <f>N423</f>
        <v>0</v>
      </c>
      <c r="O422" s="72">
        <f>O423</f>
        <v>0</v>
      </c>
      <c r="P422" s="73">
        <f>P423</f>
        <v>0</v>
      </c>
    </row>
    <row r="423" spans="1:16" ht="12.75" customHeight="1" hidden="1">
      <c r="A423" s="389" t="s">
        <v>215</v>
      </c>
      <c r="B423" s="381" t="s">
        <v>144</v>
      </c>
      <c r="C423" s="382" t="s">
        <v>94</v>
      </c>
      <c r="D423" s="382" t="s">
        <v>147</v>
      </c>
      <c r="E423" s="126" t="s">
        <v>10</v>
      </c>
      <c r="F423" s="126" t="s">
        <v>168</v>
      </c>
      <c r="G423" s="126" t="s">
        <v>168</v>
      </c>
      <c r="H423" s="126" t="s">
        <v>168</v>
      </c>
      <c r="I423" s="126" t="s">
        <v>36</v>
      </c>
      <c r="J423" s="128" t="s">
        <v>168</v>
      </c>
      <c r="K423" s="390" t="s">
        <v>214</v>
      </c>
      <c r="L423" s="154">
        <v>0</v>
      </c>
      <c r="M423" s="72">
        <v>0</v>
      </c>
      <c r="N423" s="73">
        <v>0</v>
      </c>
      <c r="O423" s="72">
        <v>0</v>
      </c>
      <c r="P423" s="73">
        <v>0</v>
      </c>
    </row>
    <row r="424" spans="1:16" ht="12.75">
      <c r="A424" s="380" t="s">
        <v>112</v>
      </c>
      <c r="B424" s="475" t="s">
        <v>144</v>
      </c>
      <c r="C424" s="476" t="s">
        <v>96</v>
      </c>
      <c r="D424" s="477"/>
      <c r="E424" s="478"/>
      <c r="F424" s="126"/>
      <c r="G424" s="126"/>
      <c r="H424" s="126"/>
      <c r="I424" s="126"/>
      <c r="J424" s="128"/>
      <c r="K424" s="390"/>
      <c r="L424" s="154">
        <f aca="true" t="shared" si="89" ref="L424:N428">L425</f>
        <v>595000</v>
      </c>
      <c r="M424" s="72">
        <f t="shared" si="89"/>
        <v>-95000</v>
      </c>
      <c r="N424" s="73">
        <f t="shared" si="89"/>
        <v>500000</v>
      </c>
      <c r="O424" s="72">
        <f aca="true" t="shared" si="90" ref="O424:P428">O425</f>
        <v>1095000</v>
      </c>
      <c r="P424" s="73">
        <f t="shared" si="90"/>
        <v>1095000</v>
      </c>
    </row>
    <row r="425" spans="1:16" ht="12.75">
      <c r="A425" s="380" t="s">
        <v>120</v>
      </c>
      <c r="B425" s="381" t="s">
        <v>144</v>
      </c>
      <c r="C425" s="382" t="s">
        <v>96</v>
      </c>
      <c r="D425" s="382" t="s">
        <v>126</v>
      </c>
      <c r="E425" s="199"/>
      <c r="F425" s="199"/>
      <c r="G425" s="126"/>
      <c r="H425" s="126"/>
      <c r="I425" s="199"/>
      <c r="J425" s="183"/>
      <c r="K425" s="393"/>
      <c r="L425" s="421">
        <f t="shared" si="89"/>
        <v>595000</v>
      </c>
      <c r="M425" s="422">
        <f t="shared" si="89"/>
        <v>-95000</v>
      </c>
      <c r="N425" s="423">
        <f t="shared" si="89"/>
        <v>500000</v>
      </c>
      <c r="O425" s="422">
        <f t="shared" si="90"/>
        <v>1095000</v>
      </c>
      <c r="P425" s="423">
        <f t="shared" si="90"/>
        <v>1095000</v>
      </c>
    </row>
    <row r="426" spans="1:16" ht="38.25">
      <c r="A426" s="449" t="s">
        <v>385</v>
      </c>
      <c r="B426" s="381" t="s">
        <v>144</v>
      </c>
      <c r="C426" s="382" t="s">
        <v>96</v>
      </c>
      <c r="D426" s="382" t="s">
        <v>126</v>
      </c>
      <c r="E426" s="153" t="s">
        <v>194</v>
      </c>
      <c r="F426" s="153" t="s">
        <v>168</v>
      </c>
      <c r="G426" s="126" t="s">
        <v>168</v>
      </c>
      <c r="H426" s="126" t="s">
        <v>168</v>
      </c>
      <c r="I426" s="153" t="s">
        <v>169</v>
      </c>
      <c r="J426" s="128" t="s">
        <v>168</v>
      </c>
      <c r="K426" s="393"/>
      <c r="L426" s="421">
        <f t="shared" si="89"/>
        <v>595000</v>
      </c>
      <c r="M426" s="422">
        <f t="shared" si="89"/>
        <v>-95000</v>
      </c>
      <c r="N426" s="423">
        <f t="shared" si="89"/>
        <v>500000</v>
      </c>
      <c r="O426" s="422">
        <f t="shared" si="90"/>
        <v>1095000</v>
      </c>
      <c r="P426" s="423">
        <f t="shared" si="90"/>
        <v>1095000</v>
      </c>
    </row>
    <row r="427" spans="1:16" ht="12.75">
      <c r="A427" s="389" t="s">
        <v>122</v>
      </c>
      <c r="B427" s="381" t="s">
        <v>144</v>
      </c>
      <c r="C427" s="382" t="s">
        <v>96</v>
      </c>
      <c r="D427" s="382" t="s">
        <v>126</v>
      </c>
      <c r="E427" s="126" t="s">
        <v>194</v>
      </c>
      <c r="F427" s="126" t="s">
        <v>168</v>
      </c>
      <c r="G427" s="126" t="s">
        <v>168</v>
      </c>
      <c r="H427" s="126" t="s">
        <v>168</v>
      </c>
      <c r="I427" s="126" t="s">
        <v>174</v>
      </c>
      <c r="J427" s="128" t="s">
        <v>168</v>
      </c>
      <c r="K427" s="390"/>
      <c r="L427" s="154">
        <f t="shared" si="89"/>
        <v>595000</v>
      </c>
      <c r="M427" s="72">
        <f t="shared" si="89"/>
        <v>-95000</v>
      </c>
      <c r="N427" s="73">
        <f t="shared" si="89"/>
        <v>500000</v>
      </c>
      <c r="O427" s="72">
        <f t="shared" si="90"/>
        <v>1095000</v>
      </c>
      <c r="P427" s="73">
        <f t="shared" si="90"/>
        <v>1095000</v>
      </c>
    </row>
    <row r="428" spans="1:16" ht="25.5">
      <c r="A428" s="389" t="s">
        <v>73</v>
      </c>
      <c r="B428" s="381" t="s">
        <v>144</v>
      </c>
      <c r="C428" s="382" t="s">
        <v>96</v>
      </c>
      <c r="D428" s="382" t="s">
        <v>126</v>
      </c>
      <c r="E428" s="126" t="s">
        <v>194</v>
      </c>
      <c r="F428" s="126" t="s">
        <v>168</v>
      </c>
      <c r="G428" s="126" t="s">
        <v>168</v>
      </c>
      <c r="H428" s="126" t="s">
        <v>168</v>
      </c>
      <c r="I428" s="126" t="s">
        <v>174</v>
      </c>
      <c r="J428" s="128" t="s">
        <v>168</v>
      </c>
      <c r="K428" s="390" t="s">
        <v>74</v>
      </c>
      <c r="L428" s="154">
        <f t="shared" si="89"/>
        <v>595000</v>
      </c>
      <c r="M428" s="72">
        <f t="shared" si="89"/>
        <v>-95000</v>
      </c>
      <c r="N428" s="73">
        <f t="shared" si="89"/>
        <v>500000</v>
      </c>
      <c r="O428" s="72">
        <f t="shared" si="90"/>
        <v>1095000</v>
      </c>
      <c r="P428" s="73">
        <f t="shared" si="90"/>
        <v>1095000</v>
      </c>
    </row>
    <row r="429" spans="1:16" ht="25.5">
      <c r="A429" s="389" t="s">
        <v>75</v>
      </c>
      <c r="B429" s="381" t="s">
        <v>144</v>
      </c>
      <c r="C429" s="382" t="s">
        <v>96</v>
      </c>
      <c r="D429" s="382" t="s">
        <v>126</v>
      </c>
      <c r="E429" s="126" t="s">
        <v>194</v>
      </c>
      <c r="F429" s="126" t="s">
        <v>168</v>
      </c>
      <c r="G429" s="126" t="s">
        <v>168</v>
      </c>
      <c r="H429" s="126" t="s">
        <v>168</v>
      </c>
      <c r="I429" s="126" t="s">
        <v>174</v>
      </c>
      <c r="J429" s="128" t="s">
        <v>168</v>
      </c>
      <c r="K429" s="390" t="s">
        <v>76</v>
      </c>
      <c r="L429" s="154">
        <v>595000</v>
      </c>
      <c r="M429" s="72">
        <v>-95000</v>
      </c>
      <c r="N429" s="73">
        <v>500000</v>
      </c>
      <c r="O429" s="72">
        <v>1095000</v>
      </c>
      <c r="P429" s="73">
        <v>1095000</v>
      </c>
    </row>
    <row r="430" spans="1:16" ht="12.75">
      <c r="A430" s="420" t="s">
        <v>102</v>
      </c>
      <c r="B430" s="381" t="s">
        <v>144</v>
      </c>
      <c r="C430" s="382" t="s">
        <v>98</v>
      </c>
      <c r="D430" s="382"/>
      <c r="E430" s="199"/>
      <c r="F430" s="199"/>
      <c r="G430" s="126"/>
      <c r="H430" s="126"/>
      <c r="I430" s="199"/>
      <c r="J430" s="183"/>
      <c r="K430" s="393"/>
      <c r="L430" s="421" t="e">
        <f>L431+L459+L444</f>
        <v>#REF!</v>
      </c>
      <c r="M430" s="422" t="e">
        <f>M431+M459+M444</f>
        <v>#REF!</v>
      </c>
      <c r="N430" s="423">
        <f>N431+N459+N444+N454</f>
        <v>6156000</v>
      </c>
      <c r="O430" s="422">
        <f>O431+O459+O444+O454</f>
        <v>8225929.36</v>
      </c>
      <c r="P430" s="423">
        <f>P431+P459+P444+P454</f>
        <v>7376305.62</v>
      </c>
    </row>
    <row r="431" spans="1:16" ht="12.75">
      <c r="A431" s="420" t="s">
        <v>163</v>
      </c>
      <c r="B431" s="381" t="s">
        <v>144</v>
      </c>
      <c r="C431" s="382" t="s">
        <v>98</v>
      </c>
      <c r="D431" s="382" t="s">
        <v>94</v>
      </c>
      <c r="E431" s="199"/>
      <c r="F431" s="199"/>
      <c r="G431" s="126"/>
      <c r="H431" s="126"/>
      <c r="I431" s="199"/>
      <c r="J431" s="183"/>
      <c r="K431" s="393"/>
      <c r="L431" s="421" t="e">
        <f>L432+L440+#REF!</f>
        <v>#REF!</v>
      </c>
      <c r="M431" s="422" t="e">
        <f>M432+M440+#REF!</f>
        <v>#REF!</v>
      </c>
      <c r="N431" s="423">
        <f>N432+N440</f>
        <v>5656000</v>
      </c>
      <c r="O431" s="422">
        <f>O432+O440</f>
        <v>7725929.36</v>
      </c>
      <c r="P431" s="423">
        <f>P432+P440</f>
        <v>6876305.62</v>
      </c>
    </row>
    <row r="432" spans="1:16" ht="51">
      <c r="A432" s="449" t="s">
        <v>373</v>
      </c>
      <c r="B432" s="381" t="s">
        <v>144</v>
      </c>
      <c r="C432" s="382" t="s">
        <v>98</v>
      </c>
      <c r="D432" s="382" t="s">
        <v>94</v>
      </c>
      <c r="E432" s="125" t="s">
        <v>101</v>
      </c>
      <c r="F432" s="125" t="s">
        <v>168</v>
      </c>
      <c r="G432" s="126" t="s">
        <v>168</v>
      </c>
      <c r="H432" s="126" t="s">
        <v>168</v>
      </c>
      <c r="I432" s="127" t="s">
        <v>169</v>
      </c>
      <c r="J432" s="128" t="s">
        <v>168</v>
      </c>
      <c r="K432" s="393"/>
      <c r="L432" s="421">
        <f>L433</f>
        <v>5239248.8</v>
      </c>
      <c r="M432" s="422">
        <f>M433</f>
        <v>2614224.19</v>
      </c>
      <c r="N432" s="423">
        <f>N433</f>
        <v>5556000</v>
      </c>
      <c r="O432" s="422">
        <f>O433</f>
        <v>7625929.36</v>
      </c>
      <c r="P432" s="423">
        <f>P433</f>
        <v>6776305.62</v>
      </c>
    </row>
    <row r="433" spans="1:16" ht="38.25">
      <c r="A433" s="449" t="s">
        <v>383</v>
      </c>
      <c r="B433" s="381" t="s">
        <v>144</v>
      </c>
      <c r="C433" s="382" t="s">
        <v>98</v>
      </c>
      <c r="D433" s="382" t="s">
        <v>94</v>
      </c>
      <c r="E433" s="125" t="s">
        <v>101</v>
      </c>
      <c r="F433" s="125" t="s">
        <v>170</v>
      </c>
      <c r="G433" s="126" t="s">
        <v>168</v>
      </c>
      <c r="H433" s="126" t="s">
        <v>168</v>
      </c>
      <c r="I433" s="127" t="s">
        <v>169</v>
      </c>
      <c r="J433" s="183" t="s">
        <v>168</v>
      </c>
      <c r="K433" s="393"/>
      <c r="L433" s="421">
        <f>L437+L434</f>
        <v>5239248.8</v>
      </c>
      <c r="M433" s="422">
        <f>M437+M434</f>
        <v>2614224.19</v>
      </c>
      <c r="N433" s="423">
        <f>N437+N434</f>
        <v>5556000</v>
      </c>
      <c r="O433" s="422">
        <f>O437+O434</f>
        <v>7625929.36</v>
      </c>
      <c r="P433" s="423">
        <f>P437+P434</f>
        <v>6776305.62</v>
      </c>
    </row>
    <row r="434" spans="1:16" ht="12.75">
      <c r="A434" s="380" t="s">
        <v>226</v>
      </c>
      <c r="B434" s="381" t="s">
        <v>144</v>
      </c>
      <c r="C434" s="382" t="s">
        <v>98</v>
      </c>
      <c r="D434" s="382" t="s">
        <v>94</v>
      </c>
      <c r="E434" s="125" t="s">
        <v>101</v>
      </c>
      <c r="F434" s="125" t="s">
        <v>170</v>
      </c>
      <c r="G434" s="126" t="s">
        <v>168</v>
      </c>
      <c r="H434" s="126" t="s">
        <v>168</v>
      </c>
      <c r="I434" s="127" t="s">
        <v>227</v>
      </c>
      <c r="J434" s="183" t="s">
        <v>168</v>
      </c>
      <c r="K434" s="393"/>
      <c r="L434" s="421">
        <f aca="true" t="shared" si="91" ref="L434:P435">L435</f>
        <v>539248.8</v>
      </c>
      <c r="M434" s="422">
        <f t="shared" si="91"/>
        <v>2614224.19</v>
      </c>
      <c r="N434" s="423">
        <f t="shared" si="91"/>
        <v>0</v>
      </c>
      <c r="O434" s="422">
        <f t="shared" si="91"/>
        <v>2069929.36</v>
      </c>
      <c r="P434" s="423">
        <f t="shared" si="91"/>
        <v>1220305.62</v>
      </c>
    </row>
    <row r="435" spans="1:16" ht="25.5">
      <c r="A435" s="389" t="s">
        <v>73</v>
      </c>
      <c r="B435" s="381" t="s">
        <v>144</v>
      </c>
      <c r="C435" s="382" t="s">
        <v>98</v>
      </c>
      <c r="D435" s="382" t="s">
        <v>94</v>
      </c>
      <c r="E435" s="125" t="s">
        <v>101</v>
      </c>
      <c r="F435" s="125" t="s">
        <v>170</v>
      </c>
      <c r="G435" s="126" t="s">
        <v>168</v>
      </c>
      <c r="H435" s="126" t="s">
        <v>168</v>
      </c>
      <c r="I435" s="127" t="s">
        <v>227</v>
      </c>
      <c r="J435" s="183" t="s">
        <v>168</v>
      </c>
      <c r="K435" s="393" t="s">
        <v>74</v>
      </c>
      <c r="L435" s="421">
        <f t="shared" si="91"/>
        <v>539248.8</v>
      </c>
      <c r="M435" s="422">
        <f t="shared" si="91"/>
        <v>2614224.19</v>
      </c>
      <c r="N435" s="423">
        <f t="shared" si="91"/>
        <v>0</v>
      </c>
      <c r="O435" s="422">
        <f t="shared" si="91"/>
        <v>2069929.36</v>
      </c>
      <c r="P435" s="423">
        <f t="shared" si="91"/>
        <v>1220305.62</v>
      </c>
    </row>
    <row r="436" spans="1:16" ht="25.5">
      <c r="A436" s="389" t="s">
        <v>75</v>
      </c>
      <c r="B436" s="381" t="s">
        <v>144</v>
      </c>
      <c r="C436" s="382" t="s">
        <v>98</v>
      </c>
      <c r="D436" s="382" t="s">
        <v>94</v>
      </c>
      <c r="E436" s="125" t="s">
        <v>101</v>
      </c>
      <c r="F436" s="125" t="s">
        <v>170</v>
      </c>
      <c r="G436" s="126" t="s">
        <v>168</v>
      </c>
      <c r="H436" s="126" t="s">
        <v>168</v>
      </c>
      <c r="I436" s="127" t="s">
        <v>227</v>
      </c>
      <c r="J436" s="183" t="s">
        <v>168</v>
      </c>
      <c r="K436" s="393" t="s">
        <v>76</v>
      </c>
      <c r="L436" s="421">
        <v>539248.8</v>
      </c>
      <c r="M436" s="422">
        <v>2614224.19</v>
      </c>
      <c r="N436" s="423">
        <v>0</v>
      </c>
      <c r="O436" s="422">
        <v>2069929.36</v>
      </c>
      <c r="P436" s="423">
        <v>1220305.62</v>
      </c>
    </row>
    <row r="437" spans="1:16" ht="25.5">
      <c r="A437" s="455" t="s">
        <v>207</v>
      </c>
      <c r="B437" s="381" t="s">
        <v>144</v>
      </c>
      <c r="C437" s="382" t="s">
        <v>98</v>
      </c>
      <c r="D437" s="382" t="s">
        <v>94</v>
      </c>
      <c r="E437" s="125" t="s">
        <v>101</v>
      </c>
      <c r="F437" s="125" t="s">
        <v>170</v>
      </c>
      <c r="G437" s="126" t="s">
        <v>168</v>
      </c>
      <c r="H437" s="126" t="s">
        <v>168</v>
      </c>
      <c r="I437" s="127" t="s">
        <v>206</v>
      </c>
      <c r="J437" s="128" t="s">
        <v>168</v>
      </c>
      <c r="K437" s="393"/>
      <c r="L437" s="421">
        <f aca="true" t="shared" si="92" ref="L437:P438">L438</f>
        <v>4700000</v>
      </c>
      <c r="M437" s="422">
        <f t="shared" si="92"/>
        <v>0</v>
      </c>
      <c r="N437" s="423">
        <f t="shared" si="92"/>
        <v>5556000</v>
      </c>
      <c r="O437" s="422">
        <f t="shared" si="92"/>
        <v>5556000</v>
      </c>
      <c r="P437" s="423">
        <f t="shared" si="92"/>
        <v>5556000</v>
      </c>
    </row>
    <row r="438" spans="1:16" ht="25.5">
      <c r="A438" s="389" t="s">
        <v>73</v>
      </c>
      <c r="B438" s="381" t="s">
        <v>144</v>
      </c>
      <c r="C438" s="382" t="s">
        <v>98</v>
      </c>
      <c r="D438" s="382" t="s">
        <v>94</v>
      </c>
      <c r="E438" s="125" t="s">
        <v>101</v>
      </c>
      <c r="F438" s="125" t="s">
        <v>170</v>
      </c>
      <c r="G438" s="126" t="s">
        <v>168</v>
      </c>
      <c r="H438" s="126" t="s">
        <v>168</v>
      </c>
      <c r="I438" s="127" t="s">
        <v>206</v>
      </c>
      <c r="J438" s="183" t="s">
        <v>168</v>
      </c>
      <c r="K438" s="393" t="s">
        <v>74</v>
      </c>
      <c r="L438" s="421">
        <f t="shared" si="92"/>
        <v>4700000</v>
      </c>
      <c r="M438" s="422">
        <f t="shared" si="92"/>
        <v>0</v>
      </c>
      <c r="N438" s="423">
        <f t="shared" si="92"/>
        <v>5556000</v>
      </c>
      <c r="O438" s="422">
        <f t="shared" si="92"/>
        <v>5556000</v>
      </c>
      <c r="P438" s="423">
        <f t="shared" si="92"/>
        <v>5556000</v>
      </c>
    </row>
    <row r="439" spans="1:16" ht="30" customHeight="1">
      <c r="A439" s="389" t="s">
        <v>75</v>
      </c>
      <c r="B439" s="381" t="s">
        <v>144</v>
      </c>
      <c r="C439" s="382" t="s">
        <v>98</v>
      </c>
      <c r="D439" s="382" t="s">
        <v>94</v>
      </c>
      <c r="E439" s="125" t="s">
        <v>101</v>
      </c>
      <c r="F439" s="125" t="s">
        <v>170</v>
      </c>
      <c r="G439" s="126" t="s">
        <v>168</v>
      </c>
      <c r="H439" s="126" t="s">
        <v>168</v>
      </c>
      <c r="I439" s="127" t="s">
        <v>206</v>
      </c>
      <c r="J439" s="183" t="s">
        <v>168</v>
      </c>
      <c r="K439" s="393" t="s">
        <v>76</v>
      </c>
      <c r="L439" s="421">
        <v>4700000</v>
      </c>
      <c r="M439" s="422">
        <v>0</v>
      </c>
      <c r="N439" s="423">
        <v>5556000</v>
      </c>
      <c r="O439" s="422">
        <v>5556000</v>
      </c>
      <c r="P439" s="423">
        <v>5556000</v>
      </c>
    </row>
    <row r="440" spans="1:16" ht="48.75" customHeight="1">
      <c r="A440" s="479" t="s">
        <v>377</v>
      </c>
      <c r="B440" s="381" t="s">
        <v>144</v>
      </c>
      <c r="C440" s="382" t="s">
        <v>98</v>
      </c>
      <c r="D440" s="382" t="s">
        <v>94</v>
      </c>
      <c r="E440" s="153" t="s">
        <v>98</v>
      </c>
      <c r="F440" s="153" t="s">
        <v>168</v>
      </c>
      <c r="G440" s="126" t="s">
        <v>168</v>
      </c>
      <c r="H440" s="126" t="s">
        <v>168</v>
      </c>
      <c r="I440" s="153" t="s">
        <v>169</v>
      </c>
      <c r="J440" s="128" t="s">
        <v>168</v>
      </c>
      <c r="K440" s="390"/>
      <c r="L440" s="154">
        <f aca="true" t="shared" si="93" ref="L440:N442">L441</f>
        <v>100000</v>
      </c>
      <c r="M440" s="72">
        <f t="shared" si="93"/>
        <v>0</v>
      </c>
      <c r="N440" s="73">
        <f t="shared" si="93"/>
        <v>100000</v>
      </c>
      <c r="O440" s="72">
        <f aca="true" t="shared" si="94" ref="O440:P442">O441</f>
        <v>100000</v>
      </c>
      <c r="P440" s="73">
        <f t="shared" si="94"/>
        <v>100000</v>
      </c>
    </row>
    <row r="441" spans="1:16" ht="12.75">
      <c r="A441" s="380" t="s">
        <v>226</v>
      </c>
      <c r="B441" s="381" t="s">
        <v>144</v>
      </c>
      <c r="C441" s="382" t="s">
        <v>98</v>
      </c>
      <c r="D441" s="382" t="s">
        <v>94</v>
      </c>
      <c r="E441" s="126" t="s">
        <v>98</v>
      </c>
      <c r="F441" s="126" t="s">
        <v>168</v>
      </c>
      <c r="G441" s="126" t="s">
        <v>168</v>
      </c>
      <c r="H441" s="126" t="s">
        <v>168</v>
      </c>
      <c r="I441" s="224">
        <v>8040</v>
      </c>
      <c r="J441" s="128" t="s">
        <v>168</v>
      </c>
      <c r="K441" s="390"/>
      <c r="L441" s="154">
        <f t="shared" si="93"/>
        <v>100000</v>
      </c>
      <c r="M441" s="72">
        <f t="shared" si="93"/>
        <v>0</v>
      </c>
      <c r="N441" s="73">
        <f t="shared" si="93"/>
        <v>100000</v>
      </c>
      <c r="O441" s="72">
        <f t="shared" si="94"/>
        <v>100000</v>
      </c>
      <c r="P441" s="73">
        <f t="shared" si="94"/>
        <v>100000</v>
      </c>
    </row>
    <row r="442" spans="1:16" ht="25.5">
      <c r="A442" s="389" t="s">
        <v>73</v>
      </c>
      <c r="B442" s="381" t="s">
        <v>144</v>
      </c>
      <c r="C442" s="382" t="s">
        <v>98</v>
      </c>
      <c r="D442" s="382" t="s">
        <v>94</v>
      </c>
      <c r="E442" s="125" t="s">
        <v>98</v>
      </c>
      <c r="F442" s="125" t="s">
        <v>168</v>
      </c>
      <c r="G442" s="126" t="s">
        <v>168</v>
      </c>
      <c r="H442" s="126" t="s">
        <v>168</v>
      </c>
      <c r="I442" s="224">
        <v>8040</v>
      </c>
      <c r="J442" s="128" t="s">
        <v>168</v>
      </c>
      <c r="K442" s="391" t="s">
        <v>74</v>
      </c>
      <c r="L442" s="154">
        <f t="shared" si="93"/>
        <v>100000</v>
      </c>
      <c r="M442" s="72">
        <f t="shared" si="93"/>
        <v>0</v>
      </c>
      <c r="N442" s="73">
        <f>N443</f>
        <v>100000</v>
      </c>
      <c r="O442" s="72">
        <f t="shared" si="94"/>
        <v>100000</v>
      </c>
      <c r="P442" s="73">
        <f t="shared" si="94"/>
        <v>100000</v>
      </c>
    </row>
    <row r="443" spans="1:16" ht="25.5">
      <c r="A443" s="389" t="s">
        <v>75</v>
      </c>
      <c r="B443" s="381" t="s">
        <v>144</v>
      </c>
      <c r="C443" s="382" t="s">
        <v>98</v>
      </c>
      <c r="D443" s="382" t="s">
        <v>94</v>
      </c>
      <c r="E443" s="125" t="s">
        <v>98</v>
      </c>
      <c r="F443" s="125" t="s">
        <v>168</v>
      </c>
      <c r="G443" s="126" t="s">
        <v>168</v>
      </c>
      <c r="H443" s="126" t="s">
        <v>168</v>
      </c>
      <c r="I443" s="224">
        <v>8040</v>
      </c>
      <c r="J443" s="128" t="s">
        <v>168</v>
      </c>
      <c r="K443" s="391" t="s">
        <v>76</v>
      </c>
      <c r="L443" s="154">
        <v>100000</v>
      </c>
      <c r="M443" s="72">
        <v>0</v>
      </c>
      <c r="N443" s="73">
        <v>100000</v>
      </c>
      <c r="O443" s="72">
        <v>100000</v>
      </c>
      <c r="P443" s="73">
        <v>100000</v>
      </c>
    </row>
    <row r="444" spans="1:16" ht="15" customHeight="1" hidden="1">
      <c r="A444" s="420" t="s">
        <v>114</v>
      </c>
      <c r="B444" s="381" t="s">
        <v>144</v>
      </c>
      <c r="C444" s="382" t="s">
        <v>98</v>
      </c>
      <c r="D444" s="382" t="s">
        <v>101</v>
      </c>
      <c r="E444" s="125"/>
      <c r="F444" s="125"/>
      <c r="G444" s="126"/>
      <c r="H444" s="126"/>
      <c r="I444" s="224"/>
      <c r="J444" s="128"/>
      <c r="K444" s="391"/>
      <c r="L444" s="154">
        <f>L445</f>
        <v>0</v>
      </c>
      <c r="M444" s="72">
        <f>M445</f>
        <v>0</v>
      </c>
      <c r="N444" s="73">
        <f>N445</f>
        <v>0</v>
      </c>
      <c r="O444" s="72">
        <f>O445</f>
        <v>0</v>
      </c>
      <c r="P444" s="73">
        <f>P445</f>
        <v>0</v>
      </c>
    </row>
    <row r="445" spans="1:16" ht="38.25" customHeight="1" hidden="1">
      <c r="A445" s="479" t="s">
        <v>289</v>
      </c>
      <c r="B445" s="381" t="s">
        <v>144</v>
      </c>
      <c r="C445" s="382" t="s">
        <v>98</v>
      </c>
      <c r="D445" s="382" t="s">
        <v>101</v>
      </c>
      <c r="E445" s="153" t="s">
        <v>98</v>
      </c>
      <c r="F445" s="153" t="s">
        <v>168</v>
      </c>
      <c r="G445" s="126" t="s">
        <v>168</v>
      </c>
      <c r="H445" s="126" t="s">
        <v>168</v>
      </c>
      <c r="I445" s="153" t="s">
        <v>169</v>
      </c>
      <c r="J445" s="128" t="s">
        <v>168</v>
      </c>
      <c r="K445" s="390"/>
      <c r="L445" s="154">
        <f>L449+L446</f>
        <v>0</v>
      </c>
      <c r="M445" s="72">
        <f>M449+M446</f>
        <v>0</v>
      </c>
      <c r="N445" s="73">
        <f>N449+N446</f>
        <v>0</v>
      </c>
      <c r="O445" s="72">
        <f>O449+O446</f>
        <v>0</v>
      </c>
      <c r="P445" s="73">
        <f>P449+P446</f>
        <v>0</v>
      </c>
    </row>
    <row r="446" spans="1:16" ht="28.5" customHeight="1" hidden="1">
      <c r="A446" s="395" t="s">
        <v>217</v>
      </c>
      <c r="B446" s="381" t="s">
        <v>144</v>
      </c>
      <c r="C446" s="382" t="s">
        <v>98</v>
      </c>
      <c r="D446" s="382" t="s">
        <v>101</v>
      </c>
      <c r="E446" s="126" t="s">
        <v>98</v>
      </c>
      <c r="F446" s="126" t="s">
        <v>168</v>
      </c>
      <c r="G446" s="126" t="s">
        <v>168</v>
      </c>
      <c r="H446" s="126" t="s">
        <v>168</v>
      </c>
      <c r="I446" s="224">
        <v>8006</v>
      </c>
      <c r="J446" s="128" t="s">
        <v>168</v>
      </c>
      <c r="K446" s="390"/>
      <c r="L446" s="154">
        <f aca="true" t="shared" si="95" ref="L446:P447">L447</f>
        <v>0</v>
      </c>
      <c r="M446" s="72">
        <f t="shared" si="95"/>
        <v>0</v>
      </c>
      <c r="N446" s="73">
        <f t="shared" si="95"/>
        <v>0</v>
      </c>
      <c r="O446" s="72">
        <f t="shared" si="95"/>
        <v>0</v>
      </c>
      <c r="P446" s="73">
        <f t="shared" si="95"/>
        <v>0</v>
      </c>
    </row>
    <row r="447" spans="1:16" ht="31.5" customHeight="1" hidden="1">
      <c r="A447" s="380" t="s">
        <v>228</v>
      </c>
      <c r="B447" s="381" t="s">
        <v>144</v>
      </c>
      <c r="C447" s="382" t="s">
        <v>98</v>
      </c>
      <c r="D447" s="382" t="s">
        <v>101</v>
      </c>
      <c r="E447" s="125" t="s">
        <v>98</v>
      </c>
      <c r="F447" s="125" t="s">
        <v>168</v>
      </c>
      <c r="G447" s="126" t="s">
        <v>168</v>
      </c>
      <c r="H447" s="126" t="s">
        <v>168</v>
      </c>
      <c r="I447" s="224">
        <v>8006</v>
      </c>
      <c r="J447" s="128" t="s">
        <v>168</v>
      </c>
      <c r="K447" s="391" t="s">
        <v>199</v>
      </c>
      <c r="L447" s="154">
        <f t="shared" si="95"/>
        <v>0</v>
      </c>
      <c r="M447" s="72">
        <f t="shared" si="95"/>
        <v>0</v>
      </c>
      <c r="N447" s="73">
        <f t="shared" si="95"/>
        <v>0</v>
      </c>
      <c r="O447" s="72">
        <f t="shared" si="95"/>
        <v>0</v>
      </c>
      <c r="P447" s="73">
        <f t="shared" si="95"/>
        <v>0</v>
      </c>
    </row>
    <row r="448" spans="1:16" ht="19.5" customHeight="1" hidden="1">
      <c r="A448" s="389" t="s">
        <v>201</v>
      </c>
      <c r="B448" s="381" t="s">
        <v>144</v>
      </c>
      <c r="C448" s="382" t="s">
        <v>98</v>
      </c>
      <c r="D448" s="382" t="s">
        <v>101</v>
      </c>
      <c r="E448" s="125" t="s">
        <v>98</v>
      </c>
      <c r="F448" s="125" t="s">
        <v>168</v>
      </c>
      <c r="G448" s="126" t="s">
        <v>168</v>
      </c>
      <c r="H448" s="126" t="s">
        <v>168</v>
      </c>
      <c r="I448" s="224">
        <v>8006</v>
      </c>
      <c r="J448" s="128" t="s">
        <v>168</v>
      </c>
      <c r="K448" s="391" t="s">
        <v>200</v>
      </c>
      <c r="L448" s="154">
        <v>0</v>
      </c>
      <c r="M448" s="72">
        <v>0</v>
      </c>
      <c r="N448" s="73">
        <v>0</v>
      </c>
      <c r="O448" s="72">
        <v>0</v>
      </c>
      <c r="P448" s="73">
        <v>0</v>
      </c>
    </row>
    <row r="449" spans="1:16" ht="17.25" customHeight="1" hidden="1">
      <c r="A449" s="380" t="s">
        <v>213</v>
      </c>
      <c r="B449" s="381" t="s">
        <v>144</v>
      </c>
      <c r="C449" s="382" t="s">
        <v>98</v>
      </c>
      <c r="D449" s="382" t="s">
        <v>101</v>
      </c>
      <c r="E449" s="126" t="s">
        <v>98</v>
      </c>
      <c r="F449" s="126" t="s">
        <v>168</v>
      </c>
      <c r="G449" s="126" t="s">
        <v>168</v>
      </c>
      <c r="H449" s="126" t="s">
        <v>168</v>
      </c>
      <c r="I449" s="224">
        <v>8018</v>
      </c>
      <c r="J449" s="128" t="s">
        <v>168</v>
      </c>
      <c r="K449" s="390"/>
      <c r="L449" s="154">
        <f>L450+L452</f>
        <v>0</v>
      </c>
      <c r="M449" s="72">
        <f>M450+M452</f>
        <v>0</v>
      </c>
      <c r="N449" s="73">
        <f>N450+N452</f>
        <v>0</v>
      </c>
      <c r="O449" s="72">
        <f>O450+O452</f>
        <v>0</v>
      </c>
      <c r="P449" s="73">
        <f>P450+P452</f>
        <v>0</v>
      </c>
    </row>
    <row r="450" spans="1:16" ht="25.5" customHeight="1" hidden="1">
      <c r="A450" s="389" t="s">
        <v>73</v>
      </c>
      <c r="B450" s="381" t="s">
        <v>144</v>
      </c>
      <c r="C450" s="382" t="s">
        <v>98</v>
      </c>
      <c r="D450" s="382" t="s">
        <v>101</v>
      </c>
      <c r="E450" s="125" t="s">
        <v>98</v>
      </c>
      <c r="F450" s="125" t="s">
        <v>168</v>
      </c>
      <c r="G450" s="126" t="s">
        <v>168</v>
      </c>
      <c r="H450" s="126" t="s">
        <v>168</v>
      </c>
      <c r="I450" s="224">
        <v>8018</v>
      </c>
      <c r="J450" s="128" t="s">
        <v>168</v>
      </c>
      <c r="K450" s="391" t="s">
        <v>74</v>
      </c>
      <c r="L450" s="154">
        <f>L451</f>
        <v>0</v>
      </c>
      <c r="M450" s="72">
        <f>M451</f>
        <v>0</v>
      </c>
      <c r="N450" s="73">
        <f>N451</f>
        <v>0</v>
      </c>
      <c r="O450" s="72">
        <f>O451</f>
        <v>0</v>
      </c>
      <c r="P450" s="73">
        <f>P451</f>
        <v>0</v>
      </c>
    </row>
    <row r="451" spans="1:16" ht="35.25" customHeight="1" hidden="1">
      <c r="A451" s="389" t="s">
        <v>75</v>
      </c>
      <c r="B451" s="381" t="s">
        <v>144</v>
      </c>
      <c r="C451" s="382" t="s">
        <v>98</v>
      </c>
      <c r="D451" s="382" t="s">
        <v>101</v>
      </c>
      <c r="E451" s="125" t="s">
        <v>98</v>
      </c>
      <c r="F451" s="125" t="s">
        <v>168</v>
      </c>
      <c r="G451" s="126" t="s">
        <v>168</v>
      </c>
      <c r="H451" s="126" t="s">
        <v>168</v>
      </c>
      <c r="I451" s="224">
        <v>8018</v>
      </c>
      <c r="J451" s="128" t="s">
        <v>168</v>
      </c>
      <c r="K451" s="391" t="s">
        <v>76</v>
      </c>
      <c r="L451" s="154">
        <v>0</v>
      </c>
      <c r="M451" s="72">
        <v>0</v>
      </c>
      <c r="N451" s="73">
        <v>0</v>
      </c>
      <c r="O451" s="72">
        <v>0</v>
      </c>
      <c r="P451" s="73">
        <v>0</v>
      </c>
    </row>
    <row r="452" spans="1:16" ht="15" customHeight="1" hidden="1">
      <c r="A452" s="389" t="s">
        <v>83</v>
      </c>
      <c r="B452" s="381" t="s">
        <v>144</v>
      </c>
      <c r="C452" s="382" t="s">
        <v>98</v>
      </c>
      <c r="D452" s="382" t="s">
        <v>101</v>
      </c>
      <c r="E452" s="125" t="s">
        <v>98</v>
      </c>
      <c r="F452" s="125" t="s">
        <v>168</v>
      </c>
      <c r="G452" s="126" t="s">
        <v>168</v>
      </c>
      <c r="H452" s="126" t="s">
        <v>168</v>
      </c>
      <c r="I452" s="224">
        <v>8018</v>
      </c>
      <c r="J452" s="128" t="s">
        <v>168</v>
      </c>
      <c r="K452" s="391" t="s">
        <v>84</v>
      </c>
      <c r="L452" s="154">
        <f>L453</f>
        <v>0</v>
      </c>
      <c r="M452" s="72">
        <f>M453</f>
        <v>0</v>
      </c>
      <c r="N452" s="73">
        <f>N453</f>
        <v>0</v>
      </c>
      <c r="O452" s="72">
        <f>O453</f>
        <v>0</v>
      </c>
      <c r="P452" s="73">
        <f>P453</f>
        <v>0</v>
      </c>
    </row>
    <row r="453" spans="1:16" ht="48.75" customHeight="1" hidden="1">
      <c r="A453" s="389" t="s">
        <v>224</v>
      </c>
      <c r="B453" s="381" t="s">
        <v>144</v>
      </c>
      <c r="C453" s="382" t="s">
        <v>98</v>
      </c>
      <c r="D453" s="382" t="s">
        <v>101</v>
      </c>
      <c r="E453" s="125" t="s">
        <v>98</v>
      </c>
      <c r="F453" s="125" t="s">
        <v>168</v>
      </c>
      <c r="G453" s="126" t="s">
        <v>168</v>
      </c>
      <c r="H453" s="126" t="s">
        <v>168</v>
      </c>
      <c r="I453" s="224">
        <v>8018</v>
      </c>
      <c r="J453" s="128" t="s">
        <v>168</v>
      </c>
      <c r="K453" s="391" t="s">
        <v>173</v>
      </c>
      <c r="L453" s="154">
        <v>0</v>
      </c>
      <c r="M453" s="72">
        <v>0</v>
      </c>
      <c r="N453" s="73">
        <v>0</v>
      </c>
      <c r="O453" s="72">
        <v>0</v>
      </c>
      <c r="P453" s="73">
        <v>0</v>
      </c>
    </row>
    <row r="454" spans="1:16" ht="22.5" customHeight="1" hidden="1">
      <c r="A454" s="420" t="s">
        <v>114</v>
      </c>
      <c r="B454" s="381" t="s">
        <v>144</v>
      </c>
      <c r="C454" s="382" t="s">
        <v>98</v>
      </c>
      <c r="D454" s="382" t="s">
        <v>101</v>
      </c>
      <c r="E454" s="125"/>
      <c r="F454" s="125"/>
      <c r="G454" s="126"/>
      <c r="H454" s="126"/>
      <c r="I454" s="224"/>
      <c r="J454" s="128"/>
      <c r="K454" s="391"/>
      <c r="L454" s="154"/>
      <c r="M454" s="72"/>
      <c r="N454" s="73">
        <f aca="true" t="shared" si="96" ref="N454:P457">N455</f>
        <v>0</v>
      </c>
      <c r="O454" s="72">
        <f t="shared" si="96"/>
        <v>0</v>
      </c>
      <c r="P454" s="73">
        <f t="shared" si="96"/>
        <v>0</v>
      </c>
    </row>
    <row r="455" spans="1:16" ht="45.75" customHeight="1" hidden="1">
      <c r="A455" s="479" t="s">
        <v>323</v>
      </c>
      <c r="B455" s="381" t="s">
        <v>144</v>
      </c>
      <c r="C455" s="382" t="s">
        <v>98</v>
      </c>
      <c r="D455" s="382" t="s">
        <v>101</v>
      </c>
      <c r="E455" s="153" t="s">
        <v>98</v>
      </c>
      <c r="F455" s="153" t="s">
        <v>168</v>
      </c>
      <c r="G455" s="126" t="s">
        <v>168</v>
      </c>
      <c r="H455" s="126" t="s">
        <v>168</v>
      </c>
      <c r="I455" s="153" t="s">
        <v>169</v>
      </c>
      <c r="J455" s="128" t="s">
        <v>168</v>
      </c>
      <c r="K455" s="390"/>
      <c r="L455" s="154"/>
      <c r="M455" s="72"/>
      <c r="N455" s="73">
        <f t="shared" si="96"/>
        <v>0</v>
      </c>
      <c r="O455" s="72">
        <f t="shared" si="96"/>
        <v>0</v>
      </c>
      <c r="P455" s="73">
        <f t="shared" si="96"/>
        <v>0</v>
      </c>
    </row>
    <row r="456" spans="1:16" ht="22.5" customHeight="1" hidden="1">
      <c r="A456" s="380" t="s">
        <v>213</v>
      </c>
      <c r="B456" s="381" t="s">
        <v>144</v>
      </c>
      <c r="C456" s="382" t="s">
        <v>98</v>
      </c>
      <c r="D456" s="382" t="s">
        <v>101</v>
      </c>
      <c r="E456" s="126" t="s">
        <v>98</v>
      </c>
      <c r="F456" s="126" t="s">
        <v>168</v>
      </c>
      <c r="G456" s="126" t="s">
        <v>168</v>
      </c>
      <c r="H456" s="126" t="s">
        <v>168</v>
      </c>
      <c r="I456" s="224">
        <v>8018</v>
      </c>
      <c r="J456" s="128" t="s">
        <v>168</v>
      </c>
      <c r="K456" s="390"/>
      <c r="L456" s="154"/>
      <c r="M456" s="72"/>
      <c r="N456" s="73">
        <f t="shared" si="96"/>
        <v>0</v>
      </c>
      <c r="O456" s="72">
        <f t="shared" si="96"/>
        <v>0</v>
      </c>
      <c r="P456" s="73">
        <f t="shared" si="96"/>
        <v>0</v>
      </c>
    </row>
    <row r="457" spans="1:16" ht="22.5" customHeight="1" hidden="1">
      <c r="A457" s="389" t="s">
        <v>83</v>
      </c>
      <c r="B457" s="381" t="s">
        <v>144</v>
      </c>
      <c r="C457" s="382" t="s">
        <v>98</v>
      </c>
      <c r="D457" s="382" t="s">
        <v>101</v>
      </c>
      <c r="E457" s="125" t="s">
        <v>98</v>
      </c>
      <c r="F457" s="125" t="s">
        <v>168</v>
      </c>
      <c r="G457" s="126" t="s">
        <v>168</v>
      </c>
      <c r="H457" s="126" t="s">
        <v>168</v>
      </c>
      <c r="I457" s="224">
        <v>8018</v>
      </c>
      <c r="J457" s="128" t="s">
        <v>168</v>
      </c>
      <c r="K457" s="391" t="s">
        <v>84</v>
      </c>
      <c r="L457" s="154"/>
      <c r="M457" s="72"/>
      <c r="N457" s="73">
        <f t="shared" si="96"/>
        <v>0</v>
      </c>
      <c r="O457" s="72">
        <f t="shared" si="96"/>
        <v>0</v>
      </c>
      <c r="P457" s="73">
        <f t="shared" si="96"/>
        <v>0</v>
      </c>
    </row>
    <row r="458" spans="1:16" ht="42.75" customHeight="1" hidden="1">
      <c r="A458" s="389" t="s">
        <v>224</v>
      </c>
      <c r="B458" s="381" t="s">
        <v>144</v>
      </c>
      <c r="C458" s="382" t="s">
        <v>98</v>
      </c>
      <c r="D458" s="382" t="s">
        <v>101</v>
      </c>
      <c r="E458" s="125" t="s">
        <v>98</v>
      </c>
      <c r="F458" s="125" t="s">
        <v>168</v>
      </c>
      <c r="G458" s="126" t="s">
        <v>168</v>
      </c>
      <c r="H458" s="126" t="s">
        <v>168</v>
      </c>
      <c r="I458" s="224">
        <v>8018</v>
      </c>
      <c r="J458" s="128" t="s">
        <v>168</v>
      </c>
      <c r="K458" s="391" t="s">
        <v>173</v>
      </c>
      <c r="L458" s="154"/>
      <c r="M458" s="72"/>
      <c r="N458" s="73">
        <v>0</v>
      </c>
      <c r="O458" s="72">
        <v>0</v>
      </c>
      <c r="P458" s="73">
        <v>0</v>
      </c>
    </row>
    <row r="459" spans="1:16" ht="12.75">
      <c r="A459" s="389" t="s">
        <v>203</v>
      </c>
      <c r="B459" s="381" t="s">
        <v>144</v>
      </c>
      <c r="C459" s="382" t="s">
        <v>98</v>
      </c>
      <c r="D459" s="382" t="s">
        <v>97</v>
      </c>
      <c r="E459" s="125"/>
      <c r="F459" s="125"/>
      <c r="G459" s="126"/>
      <c r="H459" s="126"/>
      <c r="I459" s="127"/>
      <c r="J459" s="128"/>
      <c r="K459" s="391"/>
      <c r="L459" s="154">
        <f>L460</f>
        <v>500000</v>
      </c>
      <c r="M459" s="72">
        <f>M460</f>
        <v>0</v>
      </c>
      <c r="N459" s="73">
        <f>N460</f>
        <v>500000</v>
      </c>
      <c r="O459" s="72">
        <f>O460</f>
        <v>500000</v>
      </c>
      <c r="P459" s="73">
        <f>P460</f>
        <v>500000</v>
      </c>
    </row>
    <row r="460" spans="1:16" ht="38.25">
      <c r="A460" s="449" t="s">
        <v>385</v>
      </c>
      <c r="B460" s="381" t="s">
        <v>144</v>
      </c>
      <c r="C460" s="382" t="s">
        <v>98</v>
      </c>
      <c r="D460" s="382" t="s">
        <v>97</v>
      </c>
      <c r="E460" s="125" t="s">
        <v>194</v>
      </c>
      <c r="F460" s="125" t="s">
        <v>168</v>
      </c>
      <c r="G460" s="126" t="s">
        <v>168</v>
      </c>
      <c r="H460" s="126" t="s">
        <v>168</v>
      </c>
      <c r="I460" s="127" t="s">
        <v>169</v>
      </c>
      <c r="J460" s="128" t="s">
        <v>168</v>
      </c>
      <c r="K460" s="391"/>
      <c r="L460" s="154">
        <f aca="true" t="shared" si="97" ref="L460:N462">L461</f>
        <v>500000</v>
      </c>
      <c r="M460" s="72">
        <f t="shared" si="97"/>
        <v>0</v>
      </c>
      <c r="N460" s="73">
        <f t="shared" si="97"/>
        <v>500000</v>
      </c>
      <c r="O460" s="72">
        <f aca="true" t="shared" si="98" ref="O460:P462">O461</f>
        <v>500000</v>
      </c>
      <c r="P460" s="73">
        <f t="shared" si="98"/>
        <v>500000</v>
      </c>
    </row>
    <row r="461" spans="1:16" ht="19.5" customHeight="1">
      <c r="A461" s="401" t="s">
        <v>220</v>
      </c>
      <c r="B461" s="381" t="s">
        <v>144</v>
      </c>
      <c r="C461" s="382" t="s">
        <v>98</v>
      </c>
      <c r="D461" s="382" t="s">
        <v>97</v>
      </c>
      <c r="E461" s="125" t="s">
        <v>194</v>
      </c>
      <c r="F461" s="125" t="s">
        <v>168</v>
      </c>
      <c r="G461" s="126" t="s">
        <v>168</v>
      </c>
      <c r="H461" s="126" t="s">
        <v>168</v>
      </c>
      <c r="I461" s="127" t="s">
        <v>208</v>
      </c>
      <c r="J461" s="128" t="s">
        <v>168</v>
      </c>
      <c r="K461" s="391"/>
      <c r="L461" s="154">
        <f t="shared" si="97"/>
        <v>500000</v>
      </c>
      <c r="M461" s="72">
        <f t="shared" si="97"/>
        <v>0</v>
      </c>
      <c r="N461" s="73">
        <f t="shared" si="97"/>
        <v>500000</v>
      </c>
      <c r="O461" s="72">
        <f t="shared" si="98"/>
        <v>500000</v>
      </c>
      <c r="P461" s="73">
        <f t="shared" si="98"/>
        <v>500000</v>
      </c>
    </row>
    <row r="462" spans="1:16" ht="25.5">
      <c r="A462" s="389" t="s">
        <v>73</v>
      </c>
      <c r="B462" s="381" t="s">
        <v>144</v>
      </c>
      <c r="C462" s="382" t="s">
        <v>98</v>
      </c>
      <c r="D462" s="382" t="s">
        <v>97</v>
      </c>
      <c r="E462" s="125" t="s">
        <v>194</v>
      </c>
      <c r="F462" s="125" t="s">
        <v>168</v>
      </c>
      <c r="G462" s="126" t="s">
        <v>168</v>
      </c>
      <c r="H462" s="126" t="s">
        <v>168</v>
      </c>
      <c r="I462" s="127" t="s">
        <v>208</v>
      </c>
      <c r="J462" s="128" t="s">
        <v>168</v>
      </c>
      <c r="K462" s="391" t="s">
        <v>74</v>
      </c>
      <c r="L462" s="154">
        <f t="shared" si="97"/>
        <v>500000</v>
      </c>
      <c r="M462" s="72">
        <f t="shared" si="97"/>
        <v>0</v>
      </c>
      <c r="N462" s="73">
        <f t="shared" si="97"/>
        <v>500000</v>
      </c>
      <c r="O462" s="72">
        <f t="shared" si="98"/>
        <v>500000</v>
      </c>
      <c r="P462" s="73">
        <f t="shared" si="98"/>
        <v>500000</v>
      </c>
    </row>
    <row r="463" spans="1:16" ht="25.5">
      <c r="A463" s="389" t="s">
        <v>75</v>
      </c>
      <c r="B463" s="381" t="s">
        <v>144</v>
      </c>
      <c r="C463" s="382" t="s">
        <v>98</v>
      </c>
      <c r="D463" s="382" t="s">
        <v>97</v>
      </c>
      <c r="E463" s="125" t="s">
        <v>194</v>
      </c>
      <c r="F463" s="125" t="s">
        <v>168</v>
      </c>
      <c r="G463" s="126" t="s">
        <v>168</v>
      </c>
      <c r="H463" s="126" t="s">
        <v>168</v>
      </c>
      <c r="I463" s="127" t="s">
        <v>208</v>
      </c>
      <c r="J463" s="128" t="s">
        <v>168</v>
      </c>
      <c r="K463" s="391" t="s">
        <v>76</v>
      </c>
      <c r="L463" s="154">
        <v>500000</v>
      </c>
      <c r="M463" s="72">
        <v>0</v>
      </c>
      <c r="N463" s="73">
        <v>500000</v>
      </c>
      <c r="O463" s="72">
        <v>500000</v>
      </c>
      <c r="P463" s="73">
        <v>500000</v>
      </c>
    </row>
    <row r="464" spans="1:16" ht="12.75">
      <c r="A464" s="389" t="s">
        <v>264</v>
      </c>
      <c r="B464" s="381" t="s">
        <v>144</v>
      </c>
      <c r="C464" s="382" t="s">
        <v>95</v>
      </c>
      <c r="D464" s="382"/>
      <c r="E464" s="125"/>
      <c r="F464" s="125"/>
      <c r="G464" s="126"/>
      <c r="H464" s="126"/>
      <c r="I464" s="127"/>
      <c r="J464" s="128"/>
      <c r="K464" s="391"/>
      <c r="L464" s="154">
        <f aca="true" t="shared" si="99" ref="L464:N468">L465</f>
        <v>5152900.67</v>
      </c>
      <c r="M464" s="72">
        <f t="shared" si="99"/>
        <v>0</v>
      </c>
      <c r="N464" s="73">
        <f t="shared" si="99"/>
        <v>6319380</v>
      </c>
      <c r="O464" s="72">
        <f aca="true" t="shared" si="100" ref="O464:P468">O465</f>
        <v>14403333.99</v>
      </c>
      <c r="P464" s="73">
        <f t="shared" si="100"/>
        <v>17549516.62</v>
      </c>
    </row>
    <row r="465" spans="1:16" ht="12.75">
      <c r="A465" s="389" t="s">
        <v>263</v>
      </c>
      <c r="B465" s="381" t="s">
        <v>144</v>
      </c>
      <c r="C465" s="382" t="s">
        <v>95</v>
      </c>
      <c r="D465" s="382" t="s">
        <v>98</v>
      </c>
      <c r="E465" s="125"/>
      <c r="F465" s="125"/>
      <c r="G465" s="126"/>
      <c r="H465" s="126"/>
      <c r="I465" s="127"/>
      <c r="J465" s="128"/>
      <c r="K465" s="391"/>
      <c r="L465" s="154">
        <f t="shared" si="99"/>
        <v>5152900.67</v>
      </c>
      <c r="M465" s="72">
        <f t="shared" si="99"/>
        <v>0</v>
      </c>
      <c r="N465" s="73">
        <f t="shared" si="99"/>
        <v>6319380</v>
      </c>
      <c r="O465" s="72">
        <f t="shared" si="100"/>
        <v>14403333.99</v>
      </c>
      <c r="P465" s="73">
        <f t="shared" si="100"/>
        <v>17549516.62</v>
      </c>
    </row>
    <row r="466" spans="1:16" ht="25.5">
      <c r="A466" s="389" t="s">
        <v>380</v>
      </c>
      <c r="B466" s="381" t="s">
        <v>144</v>
      </c>
      <c r="C466" s="382" t="s">
        <v>95</v>
      </c>
      <c r="D466" s="382" t="s">
        <v>98</v>
      </c>
      <c r="E466" s="272" t="s">
        <v>147</v>
      </c>
      <c r="F466" s="272" t="s">
        <v>168</v>
      </c>
      <c r="G466" s="136" t="s">
        <v>168</v>
      </c>
      <c r="H466" s="136" t="s">
        <v>168</v>
      </c>
      <c r="I466" s="160" t="s">
        <v>169</v>
      </c>
      <c r="J466" s="128" t="s">
        <v>168</v>
      </c>
      <c r="K466" s="391"/>
      <c r="L466" s="154">
        <f t="shared" si="99"/>
        <v>5152900.67</v>
      </c>
      <c r="M466" s="72">
        <f t="shared" si="99"/>
        <v>0</v>
      </c>
      <c r="N466" s="73">
        <f t="shared" si="99"/>
        <v>6319380</v>
      </c>
      <c r="O466" s="72">
        <f t="shared" si="100"/>
        <v>14403333.99</v>
      </c>
      <c r="P466" s="73">
        <f t="shared" si="100"/>
        <v>17549516.62</v>
      </c>
    </row>
    <row r="467" spans="1:16" ht="17.25" customHeight="1">
      <c r="A467" s="479" t="s">
        <v>273</v>
      </c>
      <c r="B467" s="381" t="s">
        <v>144</v>
      </c>
      <c r="C467" s="382" t="s">
        <v>95</v>
      </c>
      <c r="D467" s="382" t="s">
        <v>98</v>
      </c>
      <c r="E467" s="272" t="s">
        <v>147</v>
      </c>
      <c r="F467" s="272" t="s">
        <v>168</v>
      </c>
      <c r="G467" s="136" t="s">
        <v>168</v>
      </c>
      <c r="H467" s="136" t="s">
        <v>168</v>
      </c>
      <c r="I467" s="160" t="s">
        <v>272</v>
      </c>
      <c r="J467" s="128" t="s">
        <v>168</v>
      </c>
      <c r="K467" s="391"/>
      <c r="L467" s="154">
        <f t="shared" si="99"/>
        <v>5152900.67</v>
      </c>
      <c r="M467" s="72">
        <f t="shared" si="99"/>
        <v>0</v>
      </c>
      <c r="N467" s="73">
        <f t="shared" si="99"/>
        <v>6319380</v>
      </c>
      <c r="O467" s="72">
        <f t="shared" si="100"/>
        <v>14403333.99</v>
      </c>
      <c r="P467" s="73">
        <f t="shared" si="100"/>
        <v>17549516.62</v>
      </c>
    </row>
    <row r="468" spans="1:16" ht="25.5">
      <c r="A468" s="401" t="s">
        <v>157</v>
      </c>
      <c r="B468" s="381" t="s">
        <v>144</v>
      </c>
      <c r="C468" s="382" t="s">
        <v>95</v>
      </c>
      <c r="D468" s="382" t="s">
        <v>98</v>
      </c>
      <c r="E468" s="272" t="s">
        <v>147</v>
      </c>
      <c r="F468" s="272" t="s">
        <v>168</v>
      </c>
      <c r="G468" s="136" t="s">
        <v>168</v>
      </c>
      <c r="H468" s="136" t="s">
        <v>168</v>
      </c>
      <c r="I468" s="160" t="s">
        <v>272</v>
      </c>
      <c r="J468" s="128" t="s">
        <v>168</v>
      </c>
      <c r="K468" s="391" t="s">
        <v>74</v>
      </c>
      <c r="L468" s="154">
        <f t="shared" si="99"/>
        <v>5152900.67</v>
      </c>
      <c r="M468" s="72">
        <f t="shared" si="99"/>
        <v>0</v>
      </c>
      <c r="N468" s="73">
        <f t="shared" si="99"/>
        <v>6319380</v>
      </c>
      <c r="O468" s="72">
        <f t="shared" si="100"/>
        <v>14403333.99</v>
      </c>
      <c r="P468" s="73">
        <f t="shared" si="100"/>
        <v>17549516.62</v>
      </c>
    </row>
    <row r="469" spans="1:16" ht="25.5">
      <c r="A469" s="401" t="s">
        <v>75</v>
      </c>
      <c r="B469" s="381" t="s">
        <v>144</v>
      </c>
      <c r="C469" s="382" t="s">
        <v>95</v>
      </c>
      <c r="D469" s="382" t="s">
        <v>98</v>
      </c>
      <c r="E469" s="272" t="s">
        <v>147</v>
      </c>
      <c r="F469" s="272" t="s">
        <v>168</v>
      </c>
      <c r="G469" s="136" t="s">
        <v>168</v>
      </c>
      <c r="H469" s="136" t="s">
        <v>168</v>
      </c>
      <c r="I469" s="160" t="s">
        <v>272</v>
      </c>
      <c r="J469" s="128" t="s">
        <v>168</v>
      </c>
      <c r="K469" s="391" t="s">
        <v>76</v>
      </c>
      <c r="L469" s="154">
        <v>5152900.67</v>
      </c>
      <c r="M469" s="72">
        <v>0</v>
      </c>
      <c r="N469" s="73">
        <v>6319380</v>
      </c>
      <c r="O469" s="72">
        <v>14403333.99</v>
      </c>
      <c r="P469" s="73">
        <v>17549516.62</v>
      </c>
    </row>
    <row r="470" spans="1:16" ht="12.75">
      <c r="A470" s="401" t="s">
        <v>104</v>
      </c>
      <c r="B470" s="381" t="s">
        <v>144</v>
      </c>
      <c r="C470" s="382" t="s">
        <v>113</v>
      </c>
      <c r="D470" s="382"/>
      <c r="E470" s="272"/>
      <c r="F470" s="272"/>
      <c r="G470" s="136"/>
      <c r="H470" s="136"/>
      <c r="I470" s="160"/>
      <c r="J470" s="128"/>
      <c r="K470" s="391"/>
      <c r="L470" s="154">
        <f aca="true" t="shared" si="101" ref="L470:P471">L471</f>
        <v>2353672.9699999997</v>
      </c>
      <c r="M470" s="72">
        <f t="shared" si="101"/>
        <v>0</v>
      </c>
      <c r="N470" s="73">
        <f t="shared" si="101"/>
        <v>2399535.87</v>
      </c>
      <c r="O470" s="72">
        <f t="shared" si="101"/>
        <v>3397743.89</v>
      </c>
      <c r="P470" s="73">
        <f t="shared" si="101"/>
        <v>3397743.89</v>
      </c>
    </row>
    <row r="471" spans="1:16" ht="12.75">
      <c r="A471" s="401" t="s">
        <v>137</v>
      </c>
      <c r="B471" s="381" t="s">
        <v>144</v>
      </c>
      <c r="C471" s="382" t="s">
        <v>113</v>
      </c>
      <c r="D471" s="382" t="s">
        <v>96</v>
      </c>
      <c r="E471" s="272"/>
      <c r="F471" s="272"/>
      <c r="G471" s="136"/>
      <c r="H471" s="136"/>
      <c r="I471" s="160"/>
      <c r="J471" s="128"/>
      <c r="K471" s="391"/>
      <c r="L471" s="154">
        <f t="shared" si="101"/>
        <v>2353672.9699999997</v>
      </c>
      <c r="M471" s="72">
        <f t="shared" si="101"/>
        <v>0</v>
      </c>
      <c r="N471" s="73">
        <f t="shared" si="101"/>
        <v>2399535.87</v>
      </c>
      <c r="O471" s="72">
        <f t="shared" si="101"/>
        <v>3397743.89</v>
      </c>
      <c r="P471" s="73">
        <f t="shared" si="101"/>
        <v>3397743.89</v>
      </c>
    </row>
    <row r="472" spans="1:16" ht="12.75">
      <c r="A472" s="389" t="s">
        <v>27</v>
      </c>
      <c r="B472" s="381" t="s">
        <v>144</v>
      </c>
      <c r="C472" s="396" t="s">
        <v>113</v>
      </c>
      <c r="D472" s="396" t="s">
        <v>96</v>
      </c>
      <c r="E472" s="126" t="s">
        <v>14</v>
      </c>
      <c r="F472" s="126" t="s">
        <v>168</v>
      </c>
      <c r="G472" s="126" t="s">
        <v>168</v>
      </c>
      <c r="H472" s="126" t="s">
        <v>168</v>
      </c>
      <c r="I472" s="126" t="s">
        <v>169</v>
      </c>
      <c r="J472" s="128" t="s">
        <v>168</v>
      </c>
      <c r="K472" s="390"/>
      <c r="L472" s="154">
        <f>L473+L476</f>
        <v>2353672.9699999997</v>
      </c>
      <c r="M472" s="72">
        <f>M473+M476</f>
        <v>0</v>
      </c>
      <c r="N472" s="73">
        <f>N473+N476</f>
        <v>2399535.87</v>
      </c>
      <c r="O472" s="72">
        <f>O473+O476</f>
        <v>3397743.89</v>
      </c>
      <c r="P472" s="73">
        <f>P473+P476</f>
        <v>3397743.89</v>
      </c>
    </row>
    <row r="473" spans="1:16" ht="51">
      <c r="A473" s="389" t="s">
        <v>198</v>
      </c>
      <c r="B473" s="381" t="s">
        <v>144</v>
      </c>
      <c r="C473" s="396" t="s">
        <v>113</v>
      </c>
      <c r="D473" s="396" t="s">
        <v>96</v>
      </c>
      <c r="E473" s="159" t="s">
        <v>14</v>
      </c>
      <c r="F473" s="159" t="s">
        <v>168</v>
      </c>
      <c r="G473" s="126" t="s">
        <v>168</v>
      </c>
      <c r="H473" s="126" t="s">
        <v>168</v>
      </c>
      <c r="I473" s="328">
        <v>7877</v>
      </c>
      <c r="J473" s="128" t="s">
        <v>168</v>
      </c>
      <c r="K473" s="399"/>
      <c r="L473" s="154">
        <f aca="true" t="shared" si="102" ref="L473:P474">L474</f>
        <v>770417.47</v>
      </c>
      <c r="M473" s="72">
        <f t="shared" si="102"/>
        <v>0</v>
      </c>
      <c r="N473" s="73">
        <f t="shared" si="102"/>
        <v>0</v>
      </c>
      <c r="O473" s="72">
        <f t="shared" si="102"/>
        <v>871916.65</v>
      </c>
      <c r="P473" s="73">
        <f t="shared" si="102"/>
        <v>871916.65</v>
      </c>
    </row>
    <row r="474" spans="1:16" ht="25.5">
      <c r="A474" s="380" t="s">
        <v>228</v>
      </c>
      <c r="B474" s="381" t="s">
        <v>144</v>
      </c>
      <c r="C474" s="396" t="s">
        <v>113</v>
      </c>
      <c r="D474" s="396" t="s">
        <v>96</v>
      </c>
      <c r="E474" s="126" t="s">
        <v>14</v>
      </c>
      <c r="F474" s="159" t="s">
        <v>168</v>
      </c>
      <c r="G474" s="126" t="s">
        <v>168</v>
      </c>
      <c r="H474" s="126" t="s">
        <v>168</v>
      </c>
      <c r="I474" s="328">
        <v>7877</v>
      </c>
      <c r="J474" s="128" t="s">
        <v>168</v>
      </c>
      <c r="K474" s="399" t="s">
        <v>199</v>
      </c>
      <c r="L474" s="154">
        <f t="shared" si="102"/>
        <v>770417.47</v>
      </c>
      <c r="M474" s="72">
        <f t="shared" si="102"/>
        <v>0</v>
      </c>
      <c r="N474" s="73">
        <f t="shared" si="102"/>
        <v>0</v>
      </c>
      <c r="O474" s="72">
        <f t="shared" si="102"/>
        <v>871916.65</v>
      </c>
      <c r="P474" s="73">
        <f t="shared" si="102"/>
        <v>871916.65</v>
      </c>
    </row>
    <row r="475" spans="1:16" ht="12.75">
      <c r="A475" s="401" t="s">
        <v>201</v>
      </c>
      <c r="B475" s="381" t="s">
        <v>144</v>
      </c>
      <c r="C475" s="396" t="s">
        <v>113</v>
      </c>
      <c r="D475" s="396" t="s">
        <v>96</v>
      </c>
      <c r="E475" s="159" t="s">
        <v>14</v>
      </c>
      <c r="F475" s="159" t="s">
        <v>168</v>
      </c>
      <c r="G475" s="126" t="s">
        <v>168</v>
      </c>
      <c r="H475" s="126" t="s">
        <v>168</v>
      </c>
      <c r="I475" s="328">
        <v>7877</v>
      </c>
      <c r="J475" s="128" t="s">
        <v>168</v>
      </c>
      <c r="K475" s="399" t="s">
        <v>200</v>
      </c>
      <c r="L475" s="154">
        <v>770417.47</v>
      </c>
      <c r="M475" s="72">
        <v>0</v>
      </c>
      <c r="N475" s="73">
        <v>0</v>
      </c>
      <c r="O475" s="72">
        <v>871916.65</v>
      </c>
      <c r="P475" s="73">
        <v>871916.65</v>
      </c>
    </row>
    <row r="476" spans="1:16" ht="38.25">
      <c r="A476" s="389" t="s">
        <v>233</v>
      </c>
      <c r="B476" s="381" t="s">
        <v>144</v>
      </c>
      <c r="C476" s="396" t="s">
        <v>113</v>
      </c>
      <c r="D476" s="396" t="s">
        <v>96</v>
      </c>
      <c r="E476" s="159" t="s">
        <v>14</v>
      </c>
      <c r="F476" s="159" t="s">
        <v>168</v>
      </c>
      <c r="G476" s="126" t="s">
        <v>168</v>
      </c>
      <c r="H476" s="126" t="s">
        <v>168</v>
      </c>
      <c r="I476" s="328" t="s">
        <v>197</v>
      </c>
      <c r="J476" s="128" t="s">
        <v>168</v>
      </c>
      <c r="K476" s="399"/>
      <c r="L476" s="154">
        <f aca="true" t="shared" si="103" ref="L476:P477">L477</f>
        <v>1583255.5</v>
      </c>
      <c r="M476" s="72">
        <f t="shared" si="103"/>
        <v>0</v>
      </c>
      <c r="N476" s="73">
        <f t="shared" si="103"/>
        <v>2399535.87</v>
      </c>
      <c r="O476" s="72">
        <f t="shared" si="103"/>
        <v>2525827.24</v>
      </c>
      <c r="P476" s="73">
        <f t="shared" si="103"/>
        <v>2525827.24</v>
      </c>
    </row>
    <row r="477" spans="1:16" ht="25.5">
      <c r="A477" s="380" t="s">
        <v>228</v>
      </c>
      <c r="B477" s="381" t="s">
        <v>144</v>
      </c>
      <c r="C477" s="396" t="s">
        <v>113</v>
      </c>
      <c r="D477" s="396" t="s">
        <v>96</v>
      </c>
      <c r="E477" s="126" t="s">
        <v>14</v>
      </c>
      <c r="F477" s="159" t="s">
        <v>168</v>
      </c>
      <c r="G477" s="126" t="s">
        <v>168</v>
      </c>
      <c r="H477" s="126" t="s">
        <v>168</v>
      </c>
      <c r="I477" s="328" t="s">
        <v>197</v>
      </c>
      <c r="J477" s="128" t="s">
        <v>168</v>
      </c>
      <c r="K477" s="399" t="s">
        <v>199</v>
      </c>
      <c r="L477" s="154">
        <f t="shared" si="103"/>
        <v>1583255.5</v>
      </c>
      <c r="M477" s="72">
        <f t="shared" si="103"/>
        <v>0</v>
      </c>
      <c r="N477" s="73">
        <f t="shared" si="103"/>
        <v>2399535.87</v>
      </c>
      <c r="O477" s="72">
        <f t="shared" si="103"/>
        <v>2525827.24</v>
      </c>
      <c r="P477" s="73">
        <f t="shared" si="103"/>
        <v>2525827.24</v>
      </c>
    </row>
    <row r="478" spans="1:16" ht="12.75">
      <c r="A478" s="401" t="s">
        <v>201</v>
      </c>
      <c r="B478" s="381" t="s">
        <v>144</v>
      </c>
      <c r="C478" s="396" t="s">
        <v>113</v>
      </c>
      <c r="D478" s="396" t="s">
        <v>96</v>
      </c>
      <c r="E478" s="159" t="s">
        <v>14</v>
      </c>
      <c r="F478" s="159" t="s">
        <v>168</v>
      </c>
      <c r="G478" s="126" t="s">
        <v>168</v>
      </c>
      <c r="H478" s="126" t="s">
        <v>168</v>
      </c>
      <c r="I478" s="328" t="s">
        <v>197</v>
      </c>
      <c r="J478" s="128" t="s">
        <v>168</v>
      </c>
      <c r="K478" s="399" t="s">
        <v>200</v>
      </c>
      <c r="L478" s="154">
        <v>1583255.5</v>
      </c>
      <c r="M478" s="72">
        <v>0</v>
      </c>
      <c r="N478" s="73">
        <v>2399535.87</v>
      </c>
      <c r="O478" s="72">
        <v>2525827.24</v>
      </c>
      <c r="P478" s="73">
        <v>2525827.24</v>
      </c>
    </row>
    <row r="479" spans="1:16" ht="9" customHeight="1">
      <c r="A479" s="480"/>
      <c r="B479" s="462"/>
      <c r="C479" s="463"/>
      <c r="D479" s="481"/>
      <c r="E479" s="227"/>
      <c r="F479" s="227"/>
      <c r="G479" s="204"/>
      <c r="H479" s="204"/>
      <c r="I479" s="294"/>
      <c r="J479" s="229"/>
      <c r="K479" s="406"/>
      <c r="L479" s="295"/>
      <c r="M479" s="407"/>
      <c r="N479" s="408"/>
      <c r="O479" s="407"/>
      <c r="P479" s="408"/>
    </row>
    <row r="480" spans="1:19" s="419" customFormat="1" ht="25.5">
      <c r="A480" s="465" t="s">
        <v>367</v>
      </c>
      <c r="B480" s="381" t="s">
        <v>145</v>
      </c>
      <c r="C480" s="482"/>
      <c r="D480" s="382"/>
      <c r="E480" s="473"/>
      <c r="F480" s="473"/>
      <c r="G480" s="314"/>
      <c r="H480" s="314"/>
      <c r="I480" s="473"/>
      <c r="J480" s="474"/>
      <c r="K480" s="470"/>
      <c r="L480" s="416" t="e">
        <f>L481+L528+L509+L497</f>
        <v>#REF!</v>
      </c>
      <c r="M480" s="417" t="e">
        <f>M481+M528+M509+M497</f>
        <v>#REF!</v>
      </c>
      <c r="N480" s="418">
        <f>N481+N528+N509+N497</f>
        <v>194765388.39000002</v>
      </c>
      <c r="O480" s="417">
        <f>O481+O528+O509+O497</f>
        <v>196029888.39000002</v>
      </c>
      <c r="P480" s="418">
        <f>P481+P528+P509+P497</f>
        <v>197076413.4</v>
      </c>
      <c r="Q480" s="483"/>
      <c r="R480" s="483"/>
      <c r="S480" s="483"/>
    </row>
    <row r="481" spans="1:16" s="419" customFormat="1" ht="12.75">
      <c r="A481" s="420" t="s">
        <v>109</v>
      </c>
      <c r="B481" s="381" t="s">
        <v>145</v>
      </c>
      <c r="C481" s="158" t="s">
        <v>94</v>
      </c>
      <c r="D481" s="466"/>
      <c r="E481" s="468"/>
      <c r="F481" s="468"/>
      <c r="G481" s="126"/>
      <c r="H481" s="126"/>
      <c r="I481" s="468"/>
      <c r="J481" s="469"/>
      <c r="K481" s="470"/>
      <c r="L481" s="484" t="e">
        <f aca="true" t="shared" si="104" ref="L481:P482">L482</f>
        <v>#REF!</v>
      </c>
      <c r="M481" s="485" t="e">
        <f t="shared" si="104"/>
        <v>#REF!</v>
      </c>
      <c r="N481" s="486">
        <f t="shared" si="104"/>
        <v>1904080.08</v>
      </c>
      <c r="O481" s="485">
        <f t="shared" si="104"/>
        <v>1904080.08</v>
      </c>
      <c r="P481" s="486">
        <f t="shared" si="104"/>
        <v>3703160.16</v>
      </c>
    </row>
    <row r="482" spans="1:16" s="419" customFormat="1" ht="17.25" customHeight="1">
      <c r="A482" s="380" t="s">
        <v>124</v>
      </c>
      <c r="B482" s="381" t="s">
        <v>145</v>
      </c>
      <c r="C482" s="198" t="s">
        <v>94</v>
      </c>
      <c r="D482" s="382" t="s">
        <v>147</v>
      </c>
      <c r="E482" s="468"/>
      <c r="F482" s="468"/>
      <c r="G482" s="126"/>
      <c r="H482" s="126"/>
      <c r="I482" s="468"/>
      <c r="J482" s="469"/>
      <c r="K482" s="470"/>
      <c r="L482" s="484" t="e">
        <f t="shared" si="104"/>
        <v>#REF!</v>
      </c>
      <c r="M482" s="485" t="e">
        <f t="shared" si="104"/>
        <v>#REF!</v>
      </c>
      <c r="N482" s="486">
        <f t="shared" si="104"/>
        <v>1904080.08</v>
      </c>
      <c r="O482" s="485">
        <f t="shared" si="104"/>
        <v>1904080.08</v>
      </c>
      <c r="P482" s="486">
        <f t="shared" si="104"/>
        <v>3703160.16</v>
      </c>
    </row>
    <row r="483" spans="1:16" ht="56.25" customHeight="1">
      <c r="A483" s="449" t="s">
        <v>374</v>
      </c>
      <c r="B483" s="381" t="s">
        <v>145</v>
      </c>
      <c r="C483" s="198" t="s">
        <v>94</v>
      </c>
      <c r="D483" s="382" t="s">
        <v>147</v>
      </c>
      <c r="E483" s="153" t="s">
        <v>97</v>
      </c>
      <c r="F483" s="153" t="s">
        <v>168</v>
      </c>
      <c r="G483" s="126" t="s">
        <v>168</v>
      </c>
      <c r="H483" s="126" t="s">
        <v>168</v>
      </c>
      <c r="I483" s="153" t="s">
        <v>169</v>
      </c>
      <c r="J483" s="128" t="s">
        <v>168</v>
      </c>
      <c r="K483" s="400"/>
      <c r="L483" s="154" t="e">
        <f>#REF!+L491+L484</f>
        <v>#REF!</v>
      </c>
      <c r="M483" s="72" t="e">
        <f>#REF!+M491+M484</f>
        <v>#REF!</v>
      </c>
      <c r="N483" s="73">
        <f>N491+N484+N494</f>
        <v>1904080.08</v>
      </c>
      <c r="O483" s="72">
        <f>O491+O484+O494</f>
        <v>1904080.08</v>
      </c>
      <c r="P483" s="73">
        <f>P491+P484+P494</f>
        <v>3703160.16</v>
      </c>
    </row>
    <row r="484" spans="1:16" ht="25.5" customHeight="1">
      <c r="A484" s="401" t="s">
        <v>250</v>
      </c>
      <c r="B484" s="381" t="s">
        <v>145</v>
      </c>
      <c r="C484" s="198" t="s">
        <v>94</v>
      </c>
      <c r="D484" s="382" t="s">
        <v>147</v>
      </c>
      <c r="E484" s="159" t="s">
        <v>97</v>
      </c>
      <c r="F484" s="159" t="s">
        <v>168</v>
      </c>
      <c r="G484" s="126" t="s">
        <v>168</v>
      </c>
      <c r="H484" s="126" t="s">
        <v>168</v>
      </c>
      <c r="I484" s="159" t="s">
        <v>249</v>
      </c>
      <c r="J484" s="128" t="s">
        <v>168</v>
      </c>
      <c r="K484" s="391"/>
      <c r="L484" s="279">
        <f>L485+L487+L489</f>
        <v>568735.8</v>
      </c>
      <c r="M484" s="387">
        <f>M485+M487+M489</f>
        <v>0</v>
      </c>
      <c r="N484" s="388">
        <f>N485+N487+N489</f>
        <v>70000</v>
      </c>
      <c r="O484" s="387">
        <f>O485+O487+O489</f>
        <v>70000</v>
      </c>
      <c r="P484" s="388">
        <f>P485+P487+P489</f>
        <v>70000</v>
      </c>
    </row>
    <row r="485" spans="1:16" ht="61.5" customHeight="1">
      <c r="A485" s="389" t="s">
        <v>92</v>
      </c>
      <c r="B485" s="381" t="s">
        <v>145</v>
      </c>
      <c r="C485" s="198" t="s">
        <v>94</v>
      </c>
      <c r="D485" s="382" t="s">
        <v>147</v>
      </c>
      <c r="E485" s="159" t="s">
        <v>97</v>
      </c>
      <c r="F485" s="159" t="s">
        <v>168</v>
      </c>
      <c r="G485" s="126" t="s">
        <v>168</v>
      </c>
      <c r="H485" s="126" t="s">
        <v>168</v>
      </c>
      <c r="I485" s="159" t="s">
        <v>249</v>
      </c>
      <c r="J485" s="128" t="s">
        <v>168</v>
      </c>
      <c r="K485" s="391" t="s">
        <v>81</v>
      </c>
      <c r="L485" s="279">
        <f>L486</f>
        <v>30000</v>
      </c>
      <c r="M485" s="387">
        <f>M486</f>
        <v>0</v>
      </c>
      <c r="N485" s="388">
        <f>N486</f>
        <v>30000</v>
      </c>
      <c r="O485" s="387">
        <f>O486</f>
        <v>30000</v>
      </c>
      <c r="P485" s="388">
        <f>P486</f>
        <v>30000</v>
      </c>
    </row>
    <row r="486" spans="1:16" ht="24" customHeight="1">
      <c r="A486" s="389" t="s">
        <v>82</v>
      </c>
      <c r="B486" s="381" t="s">
        <v>145</v>
      </c>
      <c r="C486" s="198" t="s">
        <v>94</v>
      </c>
      <c r="D486" s="382" t="s">
        <v>147</v>
      </c>
      <c r="E486" s="159" t="s">
        <v>97</v>
      </c>
      <c r="F486" s="159" t="s">
        <v>168</v>
      </c>
      <c r="G486" s="126" t="s">
        <v>168</v>
      </c>
      <c r="H486" s="126" t="s">
        <v>168</v>
      </c>
      <c r="I486" s="159" t="s">
        <v>249</v>
      </c>
      <c r="J486" s="128" t="s">
        <v>168</v>
      </c>
      <c r="K486" s="391" t="s">
        <v>212</v>
      </c>
      <c r="L486" s="279">
        <v>30000</v>
      </c>
      <c r="M486" s="387">
        <v>0</v>
      </c>
      <c r="N486" s="388">
        <v>30000</v>
      </c>
      <c r="O486" s="387">
        <v>30000</v>
      </c>
      <c r="P486" s="388">
        <v>30000</v>
      </c>
    </row>
    <row r="487" spans="1:16" ht="35.25" customHeight="1">
      <c r="A487" s="389" t="s">
        <v>73</v>
      </c>
      <c r="B487" s="381" t="s">
        <v>145</v>
      </c>
      <c r="C487" s="198" t="s">
        <v>94</v>
      </c>
      <c r="D487" s="382" t="s">
        <v>147</v>
      </c>
      <c r="E487" s="159" t="s">
        <v>97</v>
      </c>
      <c r="F487" s="159" t="s">
        <v>168</v>
      </c>
      <c r="G487" s="126" t="s">
        <v>168</v>
      </c>
      <c r="H487" s="126" t="s">
        <v>168</v>
      </c>
      <c r="I487" s="159" t="s">
        <v>249</v>
      </c>
      <c r="J487" s="128" t="s">
        <v>168</v>
      </c>
      <c r="K487" s="391" t="s">
        <v>74</v>
      </c>
      <c r="L487" s="279">
        <f>L488</f>
        <v>40000</v>
      </c>
      <c r="M487" s="387">
        <f>M488</f>
        <v>0</v>
      </c>
      <c r="N487" s="388">
        <f>N488</f>
        <v>40000</v>
      </c>
      <c r="O487" s="387">
        <f>O488</f>
        <v>40000</v>
      </c>
      <c r="P487" s="388">
        <f>P488</f>
        <v>40000</v>
      </c>
    </row>
    <row r="488" spans="1:16" ht="35.25" customHeight="1">
      <c r="A488" s="389" t="s">
        <v>75</v>
      </c>
      <c r="B488" s="381" t="s">
        <v>145</v>
      </c>
      <c r="C488" s="198" t="s">
        <v>94</v>
      </c>
      <c r="D488" s="382" t="s">
        <v>147</v>
      </c>
      <c r="E488" s="159" t="s">
        <v>97</v>
      </c>
      <c r="F488" s="159" t="s">
        <v>168</v>
      </c>
      <c r="G488" s="126" t="s">
        <v>168</v>
      </c>
      <c r="H488" s="126" t="s">
        <v>168</v>
      </c>
      <c r="I488" s="159" t="s">
        <v>249</v>
      </c>
      <c r="J488" s="128" t="s">
        <v>168</v>
      </c>
      <c r="K488" s="391" t="s">
        <v>76</v>
      </c>
      <c r="L488" s="279">
        <v>40000</v>
      </c>
      <c r="M488" s="387">
        <v>0</v>
      </c>
      <c r="N488" s="388">
        <v>40000</v>
      </c>
      <c r="O488" s="387">
        <v>40000</v>
      </c>
      <c r="P488" s="388">
        <v>40000</v>
      </c>
    </row>
    <row r="489" spans="1:16" ht="35.25" customHeight="1" hidden="1">
      <c r="A489" s="389" t="s">
        <v>127</v>
      </c>
      <c r="B489" s="381" t="s">
        <v>145</v>
      </c>
      <c r="C489" s="198" t="s">
        <v>94</v>
      </c>
      <c r="D489" s="382" t="s">
        <v>147</v>
      </c>
      <c r="E489" s="159" t="s">
        <v>97</v>
      </c>
      <c r="F489" s="159" t="s">
        <v>168</v>
      </c>
      <c r="G489" s="126" t="s">
        <v>168</v>
      </c>
      <c r="H489" s="126" t="s">
        <v>168</v>
      </c>
      <c r="I489" s="159" t="s">
        <v>249</v>
      </c>
      <c r="J489" s="128" t="s">
        <v>168</v>
      </c>
      <c r="K489" s="391" t="s">
        <v>140</v>
      </c>
      <c r="L489" s="279">
        <f>L490</f>
        <v>498735.8</v>
      </c>
      <c r="M489" s="387">
        <f>M490</f>
        <v>0</v>
      </c>
      <c r="N489" s="388">
        <f>N490</f>
        <v>0</v>
      </c>
      <c r="O489" s="387">
        <f>O490</f>
        <v>0</v>
      </c>
      <c r="P489" s="388">
        <f>P490</f>
        <v>0</v>
      </c>
    </row>
    <row r="490" spans="1:16" ht="35.25" customHeight="1" hidden="1">
      <c r="A490" s="389" t="s">
        <v>141</v>
      </c>
      <c r="B490" s="381" t="s">
        <v>145</v>
      </c>
      <c r="C490" s="198" t="s">
        <v>94</v>
      </c>
      <c r="D490" s="382" t="s">
        <v>147</v>
      </c>
      <c r="E490" s="159" t="s">
        <v>97</v>
      </c>
      <c r="F490" s="159" t="s">
        <v>168</v>
      </c>
      <c r="G490" s="126" t="s">
        <v>168</v>
      </c>
      <c r="H490" s="126" t="s">
        <v>168</v>
      </c>
      <c r="I490" s="159" t="s">
        <v>249</v>
      </c>
      <c r="J490" s="128" t="s">
        <v>168</v>
      </c>
      <c r="K490" s="391" t="s">
        <v>175</v>
      </c>
      <c r="L490" s="279">
        <v>498735.8</v>
      </c>
      <c r="M490" s="387">
        <v>0</v>
      </c>
      <c r="N490" s="388">
        <v>0</v>
      </c>
      <c r="O490" s="387">
        <v>0</v>
      </c>
      <c r="P490" s="388">
        <v>0</v>
      </c>
    </row>
    <row r="491" spans="1:16" s="419" customFormat="1" ht="25.5">
      <c r="A491" s="380" t="s">
        <v>246</v>
      </c>
      <c r="B491" s="381" t="s">
        <v>145</v>
      </c>
      <c r="C491" s="198" t="s">
        <v>94</v>
      </c>
      <c r="D491" s="382" t="s">
        <v>147</v>
      </c>
      <c r="E491" s="199" t="s">
        <v>97</v>
      </c>
      <c r="F491" s="199" t="s">
        <v>168</v>
      </c>
      <c r="G491" s="126" t="s">
        <v>168</v>
      </c>
      <c r="H491" s="126" t="s">
        <v>168</v>
      </c>
      <c r="I491" s="126" t="s">
        <v>223</v>
      </c>
      <c r="J491" s="183" t="s">
        <v>168</v>
      </c>
      <c r="K491" s="393"/>
      <c r="L491" s="154">
        <f aca="true" t="shared" si="105" ref="L491:P492">L492</f>
        <v>35000</v>
      </c>
      <c r="M491" s="72">
        <f t="shared" si="105"/>
        <v>0</v>
      </c>
      <c r="N491" s="73">
        <f t="shared" si="105"/>
        <v>35000</v>
      </c>
      <c r="O491" s="72">
        <f t="shared" si="105"/>
        <v>35000</v>
      </c>
      <c r="P491" s="73">
        <f t="shared" si="105"/>
        <v>35000</v>
      </c>
    </row>
    <row r="492" spans="1:16" s="419" customFormat="1" ht="25.5">
      <c r="A492" s="389" t="s">
        <v>29</v>
      </c>
      <c r="B492" s="381" t="s">
        <v>145</v>
      </c>
      <c r="C492" s="198" t="s">
        <v>94</v>
      </c>
      <c r="D492" s="382" t="s">
        <v>147</v>
      </c>
      <c r="E492" s="199" t="s">
        <v>97</v>
      </c>
      <c r="F492" s="199" t="s">
        <v>168</v>
      </c>
      <c r="G492" s="126" t="s">
        <v>168</v>
      </c>
      <c r="H492" s="126" t="s">
        <v>168</v>
      </c>
      <c r="I492" s="126" t="s">
        <v>223</v>
      </c>
      <c r="J492" s="183" t="s">
        <v>168</v>
      </c>
      <c r="K492" s="393" t="s">
        <v>182</v>
      </c>
      <c r="L492" s="154">
        <f t="shared" si="105"/>
        <v>35000</v>
      </c>
      <c r="M492" s="72">
        <f t="shared" si="105"/>
        <v>0</v>
      </c>
      <c r="N492" s="73">
        <f t="shared" si="105"/>
        <v>35000</v>
      </c>
      <c r="O492" s="72">
        <f t="shared" si="105"/>
        <v>35000</v>
      </c>
      <c r="P492" s="73">
        <f t="shared" si="105"/>
        <v>35000</v>
      </c>
    </row>
    <row r="493" spans="1:16" s="419" customFormat="1" ht="38.25">
      <c r="A493" s="459" t="s">
        <v>265</v>
      </c>
      <c r="B493" s="381" t="s">
        <v>145</v>
      </c>
      <c r="C493" s="198" t="s">
        <v>94</v>
      </c>
      <c r="D493" s="382" t="s">
        <v>147</v>
      </c>
      <c r="E493" s="199" t="s">
        <v>97</v>
      </c>
      <c r="F493" s="199" t="s">
        <v>168</v>
      </c>
      <c r="G493" s="126" t="s">
        <v>168</v>
      </c>
      <c r="H493" s="126" t="s">
        <v>168</v>
      </c>
      <c r="I493" s="126" t="s">
        <v>223</v>
      </c>
      <c r="J493" s="183" t="s">
        <v>168</v>
      </c>
      <c r="K493" s="393" t="s">
        <v>193</v>
      </c>
      <c r="L493" s="154">
        <v>35000</v>
      </c>
      <c r="M493" s="72">
        <v>0</v>
      </c>
      <c r="N493" s="73">
        <v>35000</v>
      </c>
      <c r="O493" s="72">
        <v>35000</v>
      </c>
      <c r="P493" s="73">
        <v>35000</v>
      </c>
    </row>
    <row r="494" spans="1:21" s="419" customFormat="1" ht="25.5">
      <c r="A494" s="449" t="s">
        <v>195</v>
      </c>
      <c r="B494" s="381" t="s">
        <v>145</v>
      </c>
      <c r="C494" s="198" t="s">
        <v>94</v>
      </c>
      <c r="D494" s="382" t="s">
        <v>147</v>
      </c>
      <c r="E494" s="159" t="s">
        <v>97</v>
      </c>
      <c r="F494" s="159" t="s">
        <v>168</v>
      </c>
      <c r="G494" s="126" t="s">
        <v>168</v>
      </c>
      <c r="H494" s="126" t="s">
        <v>168</v>
      </c>
      <c r="I494" s="159" t="s">
        <v>338</v>
      </c>
      <c r="J494" s="128" t="s">
        <v>168</v>
      </c>
      <c r="K494" s="399"/>
      <c r="L494" s="154"/>
      <c r="M494" s="72"/>
      <c r="N494" s="73">
        <f aca="true" t="shared" si="106" ref="N494:P495">N495</f>
        <v>1799080.08</v>
      </c>
      <c r="O494" s="72">
        <f t="shared" si="106"/>
        <v>1799080.08</v>
      </c>
      <c r="P494" s="73">
        <f t="shared" si="106"/>
        <v>3598160.16</v>
      </c>
      <c r="R494" s="483"/>
      <c r="S494" s="483"/>
      <c r="T494" s="483"/>
      <c r="U494" s="483"/>
    </row>
    <row r="495" spans="1:16" s="419" customFormat="1" ht="12.75">
      <c r="A495" s="389" t="s">
        <v>127</v>
      </c>
      <c r="B495" s="381" t="s">
        <v>145</v>
      </c>
      <c r="C495" s="198" t="s">
        <v>94</v>
      </c>
      <c r="D495" s="382" t="s">
        <v>147</v>
      </c>
      <c r="E495" s="125" t="s">
        <v>97</v>
      </c>
      <c r="F495" s="125" t="s">
        <v>168</v>
      </c>
      <c r="G495" s="126" t="s">
        <v>168</v>
      </c>
      <c r="H495" s="126" t="s">
        <v>168</v>
      </c>
      <c r="I495" s="159" t="s">
        <v>338</v>
      </c>
      <c r="J495" s="128" t="s">
        <v>168</v>
      </c>
      <c r="K495" s="391" t="s">
        <v>140</v>
      </c>
      <c r="L495" s="154"/>
      <c r="M495" s="72"/>
      <c r="N495" s="73">
        <f t="shared" si="106"/>
        <v>1799080.08</v>
      </c>
      <c r="O495" s="72">
        <f t="shared" si="106"/>
        <v>1799080.08</v>
      </c>
      <c r="P495" s="73">
        <f t="shared" si="106"/>
        <v>3598160.16</v>
      </c>
    </row>
    <row r="496" spans="1:16" s="419" customFormat="1" ht="12.75">
      <c r="A496" s="389" t="s">
        <v>141</v>
      </c>
      <c r="B496" s="381" t="s">
        <v>145</v>
      </c>
      <c r="C496" s="198" t="s">
        <v>94</v>
      </c>
      <c r="D496" s="382" t="s">
        <v>147</v>
      </c>
      <c r="E496" s="125" t="s">
        <v>97</v>
      </c>
      <c r="F496" s="125" t="s">
        <v>168</v>
      </c>
      <c r="G496" s="126" t="s">
        <v>168</v>
      </c>
      <c r="H496" s="126" t="s">
        <v>168</v>
      </c>
      <c r="I496" s="159" t="s">
        <v>338</v>
      </c>
      <c r="J496" s="128" t="s">
        <v>168</v>
      </c>
      <c r="K496" s="391" t="s">
        <v>175</v>
      </c>
      <c r="L496" s="154"/>
      <c r="M496" s="72"/>
      <c r="N496" s="73">
        <f>1349310.06+449770.02</f>
        <v>1799080.08</v>
      </c>
      <c r="O496" s="72">
        <f>1349310.06+449770.02</f>
        <v>1799080.08</v>
      </c>
      <c r="P496" s="73">
        <f>2698620.12+899540.04</f>
        <v>3598160.16</v>
      </c>
    </row>
    <row r="497" spans="1:16" s="419" customFormat="1" ht="12.75">
      <c r="A497" s="380" t="s">
        <v>112</v>
      </c>
      <c r="B497" s="381" t="s">
        <v>145</v>
      </c>
      <c r="C497" s="198" t="s">
        <v>96</v>
      </c>
      <c r="D497" s="382"/>
      <c r="E497" s="159"/>
      <c r="F497" s="159"/>
      <c r="G497" s="126"/>
      <c r="H497" s="126"/>
      <c r="I497" s="159"/>
      <c r="J497" s="128"/>
      <c r="K497" s="391"/>
      <c r="L497" s="279">
        <f aca="true" t="shared" si="107" ref="L497:P502">L498</f>
        <v>160000</v>
      </c>
      <c r="M497" s="387">
        <f t="shared" si="107"/>
        <v>0</v>
      </c>
      <c r="N497" s="388">
        <f t="shared" si="107"/>
        <v>158900</v>
      </c>
      <c r="O497" s="387">
        <f t="shared" si="107"/>
        <v>555000</v>
      </c>
      <c r="P497" s="388">
        <f t="shared" si="107"/>
        <v>360000</v>
      </c>
    </row>
    <row r="498" spans="1:16" s="419" customFormat="1" ht="12.75">
      <c r="A498" s="380" t="s">
        <v>120</v>
      </c>
      <c r="B498" s="381" t="s">
        <v>145</v>
      </c>
      <c r="C498" s="198" t="s">
        <v>96</v>
      </c>
      <c r="D498" s="382" t="s">
        <v>126</v>
      </c>
      <c r="E498" s="159"/>
      <c r="F498" s="159"/>
      <c r="G498" s="126"/>
      <c r="H498" s="126"/>
      <c r="I498" s="159"/>
      <c r="J498" s="128"/>
      <c r="K498" s="391"/>
      <c r="L498" s="279">
        <f t="shared" si="107"/>
        <v>160000</v>
      </c>
      <c r="M498" s="387">
        <f t="shared" si="107"/>
        <v>0</v>
      </c>
      <c r="N498" s="388">
        <f t="shared" si="107"/>
        <v>158900</v>
      </c>
      <c r="O498" s="387">
        <f t="shared" si="107"/>
        <v>555000</v>
      </c>
      <c r="P498" s="388">
        <f t="shared" si="107"/>
        <v>360000</v>
      </c>
    </row>
    <row r="499" spans="1:16" s="419" customFormat="1" ht="25.5">
      <c r="A499" s="389" t="s">
        <v>368</v>
      </c>
      <c r="B499" s="381" t="s">
        <v>145</v>
      </c>
      <c r="C499" s="198" t="s">
        <v>96</v>
      </c>
      <c r="D499" s="382" t="s">
        <v>126</v>
      </c>
      <c r="E499" s="159" t="s">
        <v>94</v>
      </c>
      <c r="F499" s="159" t="s">
        <v>168</v>
      </c>
      <c r="G499" s="126" t="s">
        <v>168</v>
      </c>
      <c r="H499" s="126" t="s">
        <v>168</v>
      </c>
      <c r="I499" s="159" t="s">
        <v>169</v>
      </c>
      <c r="J499" s="128" t="s">
        <v>168</v>
      </c>
      <c r="K499" s="391"/>
      <c r="L499" s="279">
        <f t="shared" si="107"/>
        <v>160000</v>
      </c>
      <c r="M499" s="387">
        <f t="shared" si="107"/>
        <v>0</v>
      </c>
      <c r="N499" s="388">
        <f t="shared" si="107"/>
        <v>158900</v>
      </c>
      <c r="O499" s="387">
        <f t="shared" si="107"/>
        <v>555000</v>
      </c>
      <c r="P499" s="388">
        <f t="shared" si="107"/>
        <v>360000</v>
      </c>
    </row>
    <row r="500" spans="1:16" s="419" customFormat="1" ht="25.5">
      <c r="A500" s="449" t="s">
        <v>15</v>
      </c>
      <c r="B500" s="381" t="s">
        <v>145</v>
      </c>
      <c r="C500" s="198" t="s">
        <v>96</v>
      </c>
      <c r="D500" s="382" t="s">
        <v>126</v>
      </c>
      <c r="E500" s="159" t="s">
        <v>94</v>
      </c>
      <c r="F500" s="159" t="s">
        <v>166</v>
      </c>
      <c r="G500" s="126" t="s">
        <v>168</v>
      </c>
      <c r="H500" s="126" t="s">
        <v>168</v>
      </c>
      <c r="I500" s="159" t="s">
        <v>169</v>
      </c>
      <c r="J500" s="128" t="s">
        <v>168</v>
      </c>
      <c r="K500" s="391"/>
      <c r="L500" s="279">
        <f>L501+L506</f>
        <v>160000</v>
      </c>
      <c r="M500" s="387">
        <f>M501+M506</f>
        <v>0</v>
      </c>
      <c r="N500" s="388">
        <f>N501+N506</f>
        <v>158900</v>
      </c>
      <c r="O500" s="387">
        <f>O501+O506</f>
        <v>555000</v>
      </c>
      <c r="P500" s="388">
        <f>P501+P506</f>
        <v>360000</v>
      </c>
    </row>
    <row r="501" spans="1:16" s="419" customFormat="1" ht="21.75" customHeight="1">
      <c r="A501" s="389" t="s">
        <v>218</v>
      </c>
      <c r="B501" s="381" t="s">
        <v>145</v>
      </c>
      <c r="C501" s="198" t="s">
        <v>96</v>
      </c>
      <c r="D501" s="382" t="s">
        <v>126</v>
      </c>
      <c r="E501" s="159" t="s">
        <v>94</v>
      </c>
      <c r="F501" s="159" t="s">
        <v>166</v>
      </c>
      <c r="G501" s="126" t="s">
        <v>168</v>
      </c>
      <c r="H501" s="126" t="s">
        <v>168</v>
      </c>
      <c r="I501" s="159" t="s">
        <v>20</v>
      </c>
      <c r="J501" s="128" t="s">
        <v>168</v>
      </c>
      <c r="K501" s="391"/>
      <c r="L501" s="279">
        <f>L502+L504</f>
        <v>60000</v>
      </c>
      <c r="M501" s="387">
        <f>M502+M504</f>
        <v>0</v>
      </c>
      <c r="N501" s="388">
        <f>N502+N504</f>
        <v>93900</v>
      </c>
      <c r="O501" s="387">
        <f>O502+O504</f>
        <v>455000</v>
      </c>
      <c r="P501" s="388">
        <f>P502+P504</f>
        <v>260000</v>
      </c>
    </row>
    <row r="502" spans="1:16" s="419" customFormat="1" ht="25.5">
      <c r="A502" s="389" t="s">
        <v>73</v>
      </c>
      <c r="B502" s="381" t="s">
        <v>145</v>
      </c>
      <c r="C502" s="198" t="s">
        <v>96</v>
      </c>
      <c r="D502" s="382" t="s">
        <v>126</v>
      </c>
      <c r="E502" s="159" t="s">
        <v>94</v>
      </c>
      <c r="F502" s="159" t="s">
        <v>166</v>
      </c>
      <c r="G502" s="126" t="s">
        <v>168</v>
      </c>
      <c r="H502" s="126" t="s">
        <v>168</v>
      </c>
      <c r="I502" s="159" t="s">
        <v>20</v>
      </c>
      <c r="J502" s="128" t="s">
        <v>168</v>
      </c>
      <c r="K502" s="391" t="s">
        <v>74</v>
      </c>
      <c r="L502" s="279">
        <f t="shared" si="107"/>
        <v>60000</v>
      </c>
      <c r="M502" s="387">
        <f t="shared" si="107"/>
        <v>0</v>
      </c>
      <c r="N502" s="388">
        <f t="shared" si="107"/>
        <v>93900</v>
      </c>
      <c r="O502" s="387">
        <f t="shared" si="107"/>
        <v>425000</v>
      </c>
      <c r="P502" s="388">
        <f t="shared" si="107"/>
        <v>230000</v>
      </c>
    </row>
    <row r="503" spans="1:16" s="419" customFormat="1" ht="25.5">
      <c r="A503" s="389" t="s">
        <v>75</v>
      </c>
      <c r="B503" s="381" t="s">
        <v>145</v>
      </c>
      <c r="C503" s="198" t="s">
        <v>96</v>
      </c>
      <c r="D503" s="382" t="s">
        <v>126</v>
      </c>
      <c r="E503" s="159" t="s">
        <v>94</v>
      </c>
      <c r="F503" s="159" t="s">
        <v>166</v>
      </c>
      <c r="G503" s="126" t="s">
        <v>168</v>
      </c>
      <c r="H503" s="126" t="s">
        <v>168</v>
      </c>
      <c r="I503" s="159" t="s">
        <v>20</v>
      </c>
      <c r="J503" s="128" t="s">
        <v>168</v>
      </c>
      <c r="K503" s="391" t="s">
        <v>76</v>
      </c>
      <c r="L503" s="279">
        <v>60000</v>
      </c>
      <c r="M503" s="387">
        <v>0</v>
      </c>
      <c r="N503" s="388">
        <f>58900+35000</f>
        <v>93900</v>
      </c>
      <c r="O503" s="387">
        <v>425000</v>
      </c>
      <c r="P503" s="388">
        <v>230000</v>
      </c>
    </row>
    <row r="504" spans="1:16" s="419" customFormat="1" ht="25.5">
      <c r="A504" s="389" t="s">
        <v>29</v>
      </c>
      <c r="B504" s="381" t="s">
        <v>145</v>
      </c>
      <c r="C504" s="198" t="s">
        <v>96</v>
      </c>
      <c r="D504" s="382" t="s">
        <v>126</v>
      </c>
      <c r="E504" s="159" t="s">
        <v>94</v>
      </c>
      <c r="F504" s="159" t="s">
        <v>166</v>
      </c>
      <c r="G504" s="126" t="s">
        <v>168</v>
      </c>
      <c r="H504" s="126" t="s">
        <v>168</v>
      </c>
      <c r="I504" s="159" t="s">
        <v>20</v>
      </c>
      <c r="J504" s="128" t="s">
        <v>168</v>
      </c>
      <c r="K504" s="391" t="s">
        <v>182</v>
      </c>
      <c r="L504" s="279">
        <f>L505</f>
        <v>0</v>
      </c>
      <c r="M504" s="387">
        <f>M505</f>
        <v>0</v>
      </c>
      <c r="N504" s="388">
        <f>N505</f>
        <v>0</v>
      </c>
      <c r="O504" s="387">
        <f>O505</f>
        <v>30000</v>
      </c>
      <c r="P504" s="388">
        <f>P505</f>
        <v>30000</v>
      </c>
    </row>
    <row r="505" spans="1:16" s="419" customFormat="1" ht="12.75">
      <c r="A505" s="389" t="s">
        <v>30</v>
      </c>
      <c r="B505" s="381" t="s">
        <v>145</v>
      </c>
      <c r="C505" s="198" t="s">
        <v>96</v>
      </c>
      <c r="D505" s="382" t="s">
        <v>126</v>
      </c>
      <c r="E505" s="159" t="s">
        <v>94</v>
      </c>
      <c r="F505" s="159" t="s">
        <v>166</v>
      </c>
      <c r="G505" s="126" t="s">
        <v>168</v>
      </c>
      <c r="H505" s="126" t="s">
        <v>168</v>
      </c>
      <c r="I505" s="159" t="s">
        <v>20</v>
      </c>
      <c r="J505" s="128" t="s">
        <v>168</v>
      </c>
      <c r="K505" s="391" t="s">
        <v>31</v>
      </c>
      <c r="L505" s="279">
        <v>0</v>
      </c>
      <c r="M505" s="387">
        <v>0</v>
      </c>
      <c r="N505" s="388">
        <v>0</v>
      </c>
      <c r="O505" s="387">
        <v>30000</v>
      </c>
      <c r="P505" s="388">
        <v>30000</v>
      </c>
    </row>
    <row r="506" spans="1:16" s="419" customFormat="1" ht="25.5">
      <c r="A506" s="389" t="s">
        <v>293</v>
      </c>
      <c r="B506" s="381" t="s">
        <v>145</v>
      </c>
      <c r="C506" s="198" t="s">
        <v>96</v>
      </c>
      <c r="D506" s="382" t="s">
        <v>126</v>
      </c>
      <c r="E506" s="136" t="s">
        <v>94</v>
      </c>
      <c r="F506" s="136" t="s">
        <v>166</v>
      </c>
      <c r="G506" s="126" t="s">
        <v>168</v>
      </c>
      <c r="H506" s="126" t="s">
        <v>168</v>
      </c>
      <c r="I506" s="160" t="s">
        <v>294</v>
      </c>
      <c r="J506" s="128" t="s">
        <v>168</v>
      </c>
      <c r="K506" s="487"/>
      <c r="L506" s="279">
        <f aca="true" t="shared" si="108" ref="L506:P507">L507</f>
        <v>100000</v>
      </c>
      <c r="M506" s="387">
        <f t="shared" si="108"/>
        <v>0</v>
      </c>
      <c r="N506" s="388">
        <f t="shared" si="108"/>
        <v>65000</v>
      </c>
      <c r="O506" s="387">
        <f t="shared" si="108"/>
        <v>100000</v>
      </c>
      <c r="P506" s="388">
        <f t="shared" si="108"/>
        <v>100000</v>
      </c>
    </row>
    <row r="507" spans="1:16" s="419" customFormat="1" ht="25.5">
      <c r="A507" s="389" t="s">
        <v>73</v>
      </c>
      <c r="B507" s="381" t="s">
        <v>145</v>
      </c>
      <c r="C507" s="198" t="s">
        <v>96</v>
      </c>
      <c r="D507" s="382" t="s">
        <v>126</v>
      </c>
      <c r="E507" s="136" t="s">
        <v>94</v>
      </c>
      <c r="F507" s="136" t="s">
        <v>166</v>
      </c>
      <c r="G507" s="126" t="s">
        <v>168</v>
      </c>
      <c r="H507" s="126" t="s">
        <v>168</v>
      </c>
      <c r="I507" s="160" t="s">
        <v>294</v>
      </c>
      <c r="J507" s="128" t="s">
        <v>168</v>
      </c>
      <c r="K507" s="487" t="s">
        <v>74</v>
      </c>
      <c r="L507" s="279">
        <f t="shared" si="108"/>
        <v>100000</v>
      </c>
      <c r="M507" s="387">
        <f t="shared" si="108"/>
        <v>0</v>
      </c>
      <c r="N507" s="388">
        <f t="shared" si="108"/>
        <v>65000</v>
      </c>
      <c r="O507" s="387">
        <f t="shared" si="108"/>
        <v>100000</v>
      </c>
      <c r="P507" s="388">
        <f t="shared" si="108"/>
        <v>100000</v>
      </c>
    </row>
    <row r="508" spans="1:16" s="419" customFormat="1" ht="25.5">
      <c r="A508" s="389" t="s">
        <v>75</v>
      </c>
      <c r="B508" s="381" t="s">
        <v>145</v>
      </c>
      <c r="C508" s="198" t="s">
        <v>96</v>
      </c>
      <c r="D508" s="382" t="s">
        <v>126</v>
      </c>
      <c r="E508" s="136" t="s">
        <v>94</v>
      </c>
      <c r="F508" s="136" t="s">
        <v>166</v>
      </c>
      <c r="G508" s="126" t="s">
        <v>168</v>
      </c>
      <c r="H508" s="126" t="s">
        <v>168</v>
      </c>
      <c r="I508" s="160" t="s">
        <v>294</v>
      </c>
      <c r="J508" s="128" t="s">
        <v>168</v>
      </c>
      <c r="K508" s="487" t="s">
        <v>76</v>
      </c>
      <c r="L508" s="279">
        <v>100000</v>
      </c>
      <c r="M508" s="387">
        <v>0</v>
      </c>
      <c r="N508" s="388">
        <v>65000</v>
      </c>
      <c r="O508" s="387">
        <v>100000</v>
      </c>
      <c r="P508" s="388">
        <v>100000</v>
      </c>
    </row>
    <row r="509" spans="1:16" s="419" customFormat="1" ht="12.75">
      <c r="A509" s="380" t="s">
        <v>103</v>
      </c>
      <c r="B509" s="381" t="s">
        <v>145</v>
      </c>
      <c r="C509" s="198" t="s">
        <v>99</v>
      </c>
      <c r="D509" s="382"/>
      <c r="E509" s="159"/>
      <c r="F509" s="159"/>
      <c r="G509" s="126"/>
      <c r="H509" s="126"/>
      <c r="I509" s="159"/>
      <c r="J509" s="128"/>
      <c r="K509" s="391"/>
      <c r="L509" s="279">
        <f>L522+L510</f>
        <v>14067300</v>
      </c>
      <c r="M509" s="387">
        <f>M522+M510</f>
        <v>0</v>
      </c>
      <c r="N509" s="388">
        <f>N522+N510</f>
        <v>17255870</v>
      </c>
      <c r="O509" s="387">
        <f>O522+O510</f>
        <v>17205870</v>
      </c>
      <c r="P509" s="388">
        <f>P522+P510</f>
        <v>17205870</v>
      </c>
    </row>
    <row r="510" spans="1:16" s="419" customFormat="1" ht="12.75">
      <c r="A510" s="389" t="s">
        <v>222</v>
      </c>
      <c r="B510" s="381" t="s">
        <v>145</v>
      </c>
      <c r="C510" s="198" t="s">
        <v>99</v>
      </c>
      <c r="D510" s="382" t="s">
        <v>97</v>
      </c>
      <c r="E510" s="159"/>
      <c r="F510" s="159"/>
      <c r="G510" s="126"/>
      <c r="H510" s="126"/>
      <c r="I510" s="159"/>
      <c r="J510" s="128"/>
      <c r="K510" s="391"/>
      <c r="L510" s="279">
        <f aca="true" t="shared" si="109" ref="L510:P511">L511</f>
        <v>13997300</v>
      </c>
      <c r="M510" s="387">
        <f t="shared" si="109"/>
        <v>0</v>
      </c>
      <c r="N510" s="388">
        <f t="shared" si="109"/>
        <v>17185870</v>
      </c>
      <c r="O510" s="387">
        <f t="shared" si="109"/>
        <v>17135870</v>
      </c>
      <c r="P510" s="388">
        <f t="shared" si="109"/>
        <v>17135870</v>
      </c>
    </row>
    <row r="511" spans="1:16" s="419" customFormat="1" ht="25.5">
      <c r="A511" s="389" t="s">
        <v>368</v>
      </c>
      <c r="B511" s="381" t="s">
        <v>145</v>
      </c>
      <c r="C511" s="198" t="s">
        <v>99</v>
      </c>
      <c r="D511" s="382" t="s">
        <v>97</v>
      </c>
      <c r="E511" s="159" t="s">
        <v>94</v>
      </c>
      <c r="F511" s="159" t="s">
        <v>168</v>
      </c>
      <c r="G511" s="126" t="s">
        <v>168</v>
      </c>
      <c r="H511" s="126" t="s">
        <v>168</v>
      </c>
      <c r="I511" s="159" t="s">
        <v>169</v>
      </c>
      <c r="J511" s="128" t="s">
        <v>168</v>
      </c>
      <c r="K511" s="391"/>
      <c r="L511" s="279">
        <f t="shared" si="109"/>
        <v>13997300</v>
      </c>
      <c r="M511" s="387">
        <f t="shared" si="109"/>
        <v>0</v>
      </c>
      <c r="N511" s="388">
        <f t="shared" si="109"/>
        <v>17185870</v>
      </c>
      <c r="O511" s="387">
        <f t="shared" si="109"/>
        <v>17135870</v>
      </c>
      <c r="P511" s="388">
        <f t="shared" si="109"/>
        <v>17135870</v>
      </c>
    </row>
    <row r="512" spans="1:16" s="419" customFormat="1" ht="25.5">
      <c r="A512" s="449" t="s">
        <v>17</v>
      </c>
      <c r="B512" s="381" t="s">
        <v>145</v>
      </c>
      <c r="C512" s="198" t="s">
        <v>99</v>
      </c>
      <c r="D512" s="382" t="s">
        <v>97</v>
      </c>
      <c r="E512" s="159" t="s">
        <v>94</v>
      </c>
      <c r="F512" s="159" t="s">
        <v>170</v>
      </c>
      <c r="G512" s="126" t="s">
        <v>168</v>
      </c>
      <c r="H512" s="126" t="s">
        <v>168</v>
      </c>
      <c r="I512" s="159" t="s">
        <v>169</v>
      </c>
      <c r="J512" s="128" t="s">
        <v>168</v>
      </c>
      <c r="K512" s="391"/>
      <c r="L512" s="279">
        <f>L519+L513+L516</f>
        <v>13997300</v>
      </c>
      <c r="M512" s="387">
        <f>M519+M513+M516</f>
        <v>0</v>
      </c>
      <c r="N512" s="388">
        <f>N519+N513+N516</f>
        <v>17185870</v>
      </c>
      <c r="O512" s="387">
        <f>O519+O513+O516</f>
        <v>17135870</v>
      </c>
      <c r="P512" s="388">
        <f>P519+P513+P516</f>
        <v>17135870</v>
      </c>
    </row>
    <row r="513" spans="1:16" s="419" customFormat="1" ht="68.25" customHeight="1">
      <c r="A513" s="380" t="s">
        <v>234</v>
      </c>
      <c r="B513" s="432">
        <v>334</v>
      </c>
      <c r="C513" s="198" t="s">
        <v>99</v>
      </c>
      <c r="D513" s="382" t="s">
        <v>97</v>
      </c>
      <c r="E513" s="126" t="s">
        <v>94</v>
      </c>
      <c r="F513" s="125" t="s">
        <v>170</v>
      </c>
      <c r="G513" s="126" t="s">
        <v>168</v>
      </c>
      <c r="H513" s="126" t="s">
        <v>168</v>
      </c>
      <c r="I513" s="127" t="s">
        <v>235</v>
      </c>
      <c r="J513" s="128" t="s">
        <v>168</v>
      </c>
      <c r="K513" s="391"/>
      <c r="L513" s="279">
        <f aca="true" t="shared" si="110" ref="L513:P514">L514</f>
        <v>600000</v>
      </c>
      <c r="M513" s="387">
        <f t="shared" si="110"/>
        <v>0</v>
      </c>
      <c r="N513" s="388">
        <f t="shared" si="110"/>
        <v>700000</v>
      </c>
      <c r="O513" s="387">
        <f t="shared" si="110"/>
        <v>700000</v>
      </c>
      <c r="P513" s="388">
        <f t="shared" si="110"/>
        <v>700000</v>
      </c>
    </row>
    <row r="514" spans="1:16" s="419" customFormat="1" ht="25.5">
      <c r="A514" s="389" t="s">
        <v>29</v>
      </c>
      <c r="B514" s="432">
        <v>334</v>
      </c>
      <c r="C514" s="198" t="s">
        <v>99</v>
      </c>
      <c r="D514" s="382" t="s">
        <v>97</v>
      </c>
      <c r="E514" s="126" t="s">
        <v>94</v>
      </c>
      <c r="F514" s="125" t="s">
        <v>170</v>
      </c>
      <c r="G514" s="126" t="s">
        <v>168</v>
      </c>
      <c r="H514" s="126" t="s">
        <v>168</v>
      </c>
      <c r="I514" s="127" t="s">
        <v>235</v>
      </c>
      <c r="J514" s="128" t="s">
        <v>168</v>
      </c>
      <c r="K514" s="391" t="s">
        <v>182</v>
      </c>
      <c r="L514" s="279">
        <f t="shared" si="110"/>
        <v>600000</v>
      </c>
      <c r="M514" s="387">
        <f t="shared" si="110"/>
        <v>0</v>
      </c>
      <c r="N514" s="388">
        <f t="shared" si="110"/>
        <v>700000</v>
      </c>
      <c r="O514" s="387">
        <f t="shared" si="110"/>
        <v>700000</v>
      </c>
      <c r="P514" s="388">
        <f t="shared" si="110"/>
        <v>700000</v>
      </c>
    </row>
    <row r="515" spans="1:16" s="419" customFormat="1" ht="12.75">
      <c r="A515" s="389" t="s">
        <v>30</v>
      </c>
      <c r="B515" s="432">
        <v>334</v>
      </c>
      <c r="C515" s="198" t="s">
        <v>99</v>
      </c>
      <c r="D515" s="382" t="s">
        <v>97</v>
      </c>
      <c r="E515" s="126" t="s">
        <v>94</v>
      </c>
      <c r="F515" s="125" t="s">
        <v>170</v>
      </c>
      <c r="G515" s="126" t="s">
        <v>168</v>
      </c>
      <c r="H515" s="126" t="s">
        <v>168</v>
      </c>
      <c r="I515" s="127" t="s">
        <v>235</v>
      </c>
      <c r="J515" s="128" t="s">
        <v>168</v>
      </c>
      <c r="K515" s="391" t="s">
        <v>31</v>
      </c>
      <c r="L515" s="279">
        <v>600000</v>
      </c>
      <c r="M515" s="387">
        <v>0</v>
      </c>
      <c r="N515" s="388">
        <v>700000</v>
      </c>
      <c r="O515" s="387">
        <v>700000</v>
      </c>
      <c r="P515" s="388">
        <v>700000</v>
      </c>
    </row>
    <row r="516" spans="1:16" s="419" customFormat="1" ht="12.75">
      <c r="A516" s="389" t="s">
        <v>18</v>
      </c>
      <c r="B516" s="381" t="s">
        <v>145</v>
      </c>
      <c r="C516" s="198" t="s">
        <v>99</v>
      </c>
      <c r="D516" s="382" t="s">
        <v>97</v>
      </c>
      <c r="E516" s="153" t="s">
        <v>94</v>
      </c>
      <c r="F516" s="153" t="s">
        <v>170</v>
      </c>
      <c r="G516" s="126" t="s">
        <v>168</v>
      </c>
      <c r="H516" s="126" t="s">
        <v>168</v>
      </c>
      <c r="I516" s="153" t="s">
        <v>20</v>
      </c>
      <c r="J516" s="128" t="s">
        <v>168</v>
      </c>
      <c r="K516" s="391"/>
      <c r="L516" s="279">
        <f aca="true" t="shared" si="111" ref="L516:P517">L517</f>
        <v>130000</v>
      </c>
      <c r="M516" s="387">
        <f t="shared" si="111"/>
        <v>0</v>
      </c>
      <c r="N516" s="388">
        <f t="shared" si="111"/>
        <v>130000</v>
      </c>
      <c r="O516" s="387">
        <f t="shared" si="111"/>
        <v>80000</v>
      </c>
      <c r="P516" s="388">
        <f t="shared" si="111"/>
        <v>80000</v>
      </c>
    </row>
    <row r="517" spans="1:16" s="419" customFormat="1" ht="25.5">
      <c r="A517" s="389" t="s">
        <v>29</v>
      </c>
      <c r="B517" s="381" t="s">
        <v>145</v>
      </c>
      <c r="C517" s="198" t="s">
        <v>99</v>
      </c>
      <c r="D517" s="382" t="s">
        <v>97</v>
      </c>
      <c r="E517" s="126" t="s">
        <v>94</v>
      </c>
      <c r="F517" s="126" t="s">
        <v>170</v>
      </c>
      <c r="G517" s="126" t="s">
        <v>168</v>
      </c>
      <c r="H517" s="126" t="s">
        <v>168</v>
      </c>
      <c r="I517" s="153" t="s">
        <v>20</v>
      </c>
      <c r="J517" s="128" t="s">
        <v>168</v>
      </c>
      <c r="K517" s="391">
        <v>600</v>
      </c>
      <c r="L517" s="279">
        <f t="shared" si="111"/>
        <v>130000</v>
      </c>
      <c r="M517" s="387">
        <f t="shared" si="111"/>
        <v>0</v>
      </c>
      <c r="N517" s="388">
        <f t="shared" si="111"/>
        <v>130000</v>
      </c>
      <c r="O517" s="387">
        <f t="shared" si="111"/>
        <v>80000</v>
      </c>
      <c r="P517" s="388">
        <f t="shared" si="111"/>
        <v>80000</v>
      </c>
    </row>
    <row r="518" spans="1:16" s="419" customFormat="1" ht="12.75">
      <c r="A518" s="389" t="s">
        <v>30</v>
      </c>
      <c r="B518" s="381" t="s">
        <v>145</v>
      </c>
      <c r="C518" s="198" t="s">
        <v>99</v>
      </c>
      <c r="D518" s="382" t="s">
        <v>97</v>
      </c>
      <c r="E518" s="126" t="s">
        <v>94</v>
      </c>
      <c r="F518" s="126" t="s">
        <v>170</v>
      </c>
      <c r="G518" s="126" t="s">
        <v>168</v>
      </c>
      <c r="H518" s="126" t="s">
        <v>168</v>
      </c>
      <c r="I518" s="126" t="s">
        <v>20</v>
      </c>
      <c r="J518" s="128" t="s">
        <v>168</v>
      </c>
      <c r="K518" s="391" t="s">
        <v>31</v>
      </c>
      <c r="L518" s="279">
        <v>130000</v>
      </c>
      <c r="M518" s="387">
        <v>0</v>
      </c>
      <c r="N518" s="388">
        <v>130000</v>
      </c>
      <c r="O518" s="387">
        <v>80000</v>
      </c>
      <c r="P518" s="388">
        <v>80000</v>
      </c>
    </row>
    <row r="519" spans="1:16" s="419" customFormat="1" ht="25.5">
      <c r="A519" s="389" t="s">
        <v>183</v>
      </c>
      <c r="B519" s="381" t="s">
        <v>145</v>
      </c>
      <c r="C519" s="198" t="s">
        <v>99</v>
      </c>
      <c r="D519" s="382" t="s">
        <v>97</v>
      </c>
      <c r="E519" s="126" t="s">
        <v>94</v>
      </c>
      <c r="F519" s="125" t="s">
        <v>170</v>
      </c>
      <c r="G519" s="126" t="s">
        <v>168</v>
      </c>
      <c r="H519" s="126" t="s">
        <v>168</v>
      </c>
      <c r="I519" s="127" t="s">
        <v>184</v>
      </c>
      <c r="J519" s="128" t="s">
        <v>168</v>
      </c>
      <c r="K519" s="391"/>
      <c r="L519" s="279">
        <f aca="true" t="shared" si="112" ref="L519:P520">L520</f>
        <v>13267300</v>
      </c>
      <c r="M519" s="387">
        <f t="shared" si="112"/>
        <v>0</v>
      </c>
      <c r="N519" s="388">
        <f t="shared" si="112"/>
        <v>16355870</v>
      </c>
      <c r="O519" s="387">
        <f t="shared" si="112"/>
        <v>16355870</v>
      </c>
      <c r="P519" s="388">
        <f t="shared" si="112"/>
        <v>16355870</v>
      </c>
    </row>
    <row r="520" spans="1:16" s="419" customFormat="1" ht="25.5">
      <c r="A520" s="389" t="s">
        <v>29</v>
      </c>
      <c r="B520" s="381" t="s">
        <v>145</v>
      </c>
      <c r="C520" s="198" t="s">
        <v>99</v>
      </c>
      <c r="D520" s="382" t="s">
        <v>97</v>
      </c>
      <c r="E520" s="126" t="s">
        <v>94</v>
      </c>
      <c r="F520" s="125" t="s">
        <v>170</v>
      </c>
      <c r="G520" s="126" t="s">
        <v>168</v>
      </c>
      <c r="H520" s="126" t="s">
        <v>168</v>
      </c>
      <c r="I520" s="127" t="s">
        <v>184</v>
      </c>
      <c r="J520" s="128" t="s">
        <v>168</v>
      </c>
      <c r="K520" s="391">
        <v>600</v>
      </c>
      <c r="L520" s="279">
        <f t="shared" si="112"/>
        <v>13267300</v>
      </c>
      <c r="M520" s="387">
        <f t="shared" si="112"/>
        <v>0</v>
      </c>
      <c r="N520" s="388">
        <f t="shared" si="112"/>
        <v>16355870</v>
      </c>
      <c r="O520" s="387">
        <f t="shared" si="112"/>
        <v>16355870</v>
      </c>
      <c r="P520" s="388">
        <f t="shared" si="112"/>
        <v>16355870</v>
      </c>
    </row>
    <row r="521" spans="1:16" s="419" customFormat="1" ht="12.75">
      <c r="A521" s="389" t="s">
        <v>30</v>
      </c>
      <c r="B521" s="381" t="s">
        <v>145</v>
      </c>
      <c r="C521" s="198" t="s">
        <v>99</v>
      </c>
      <c r="D521" s="382" t="s">
        <v>97</v>
      </c>
      <c r="E521" s="126" t="s">
        <v>94</v>
      </c>
      <c r="F521" s="125" t="s">
        <v>170</v>
      </c>
      <c r="G521" s="126" t="s">
        <v>168</v>
      </c>
      <c r="H521" s="126" t="s">
        <v>168</v>
      </c>
      <c r="I521" s="127" t="s">
        <v>184</v>
      </c>
      <c r="J521" s="128" t="s">
        <v>168</v>
      </c>
      <c r="K521" s="391" t="s">
        <v>31</v>
      </c>
      <c r="L521" s="279">
        <v>13267300</v>
      </c>
      <c r="M521" s="387">
        <v>0</v>
      </c>
      <c r="N521" s="388">
        <v>16355870</v>
      </c>
      <c r="O521" s="387">
        <v>16355870</v>
      </c>
      <c r="P521" s="388">
        <v>16355870</v>
      </c>
    </row>
    <row r="522" spans="1:16" s="419" customFormat="1" ht="12.75">
      <c r="A522" s="380" t="s">
        <v>221</v>
      </c>
      <c r="B522" s="381" t="s">
        <v>145</v>
      </c>
      <c r="C522" s="198" t="s">
        <v>99</v>
      </c>
      <c r="D522" s="382" t="s">
        <v>99</v>
      </c>
      <c r="E522" s="159"/>
      <c r="F522" s="159"/>
      <c r="G522" s="126"/>
      <c r="H522" s="126"/>
      <c r="I522" s="159"/>
      <c r="J522" s="128"/>
      <c r="K522" s="391"/>
      <c r="L522" s="279">
        <f aca="true" t="shared" si="113" ref="L522:N524">L523</f>
        <v>70000</v>
      </c>
      <c r="M522" s="387">
        <f t="shared" si="113"/>
        <v>0</v>
      </c>
      <c r="N522" s="388">
        <f t="shared" si="113"/>
        <v>70000</v>
      </c>
      <c r="O522" s="387">
        <f aca="true" t="shared" si="114" ref="O522:P524">O523</f>
        <v>70000</v>
      </c>
      <c r="P522" s="388">
        <f t="shared" si="114"/>
        <v>70000</v>
      </c>
    </row>
    <row r="523" spans="1:16" s="419" customFormat="1" ht="38.25">
      <c r="A523" s="449" t="s">
        <v>369</v>
      </c>
      <c r="B523" s="381" t="s">
        <v>145</v>
      </c>
      <c r="C523" s="198" t="s">
        <v>99</v>
      </c>
      <c r="D523" s="382" t="s">
        <v>99</v>
      </c>
      <c r="E523" s="153" t="s">
        <v>99</v>
      </c>
      <c r="F523" s="153" t="s">
        <v>168</v>
      </c>
      <c r="G523" s="126" t="s">
        <v>168</v>
      </c>
      <c r="H523" s="126" t="s">
        <v>168</v>
      </c>
      <c r="I523" s="153" t="s">
        <v>169</v>
      </c>
      <c r="J523" s="128" t="s">
        <v>168</v>
      </c>
      <c r="K523" s="400"/>
      <c r="L523" s="154">
        <f t="shared" si="113"/>
        <v>70000</v>
      </c>
      <c r="M523" s="72">
        <f t="shared" si="113"/>
        <v>0</v>
      </c>
      <c r="N523" s="73">
        <f t="shared" si="113"/>
        <v>70000</v>
      </c>
      <c r="O523" s="72">
        <f t="shared" si="114"/>
        <v>70000</v>
      </c>
      <c r="P523" s="73">
        <f t="shared" si="114"/>
        <v>70000</v>
      </c>
    </row>
    <row r="524" spans="1:16" s="419" customFormat="1" ht="25.5">
      <c r="A524" s="401" t="s">
        <v>370</v>
      </c>
      <c r="B524" s="432">
        <v>334</v>
      </c>
      <c r="C524" s="396" t="s">
        <v>99</v>
      </c>
      <c r="D524" s="158" t="s">
        <v>99</v>
      </c>
      <c r="E524" s="158" t="s">
        <v>99</v>
      </c>
      <c r="F524" s="159" t="s">
        <v>166</v>
      </c>
      <c r="G524" s="126" t="s">
        <v>168</v>
      </c>
      <c r="H524" s="126" t="s">
        <v>168</v>
      </c>
      <c r="I524" s="159" t="s">
        <v>169</v>
      </c>
      <c r="J524" s="128" t="s">
        <v>168</v>
      </c>
      <c r="K524" s="399"/>
      <c r="L524" s="154">
        <f t="shared" si="113"/>
        <v>70000</v>
      </c>
      <c r="M524" s="72">
        <f t="shared" si="113"/>
        <v>0</v>
      </c>
      <c r="N524" s="73">
        <f>N525</f>
        <v>70000</v>
      </c>
      <c r="O524" s="72">
        <f t="shared" si="114"/>
        <v>70000</v>
      </c>
      <c r="P524" s="73">
        <f t="shared" si="114"/>
        <v>70000</v>
      </c>
    </row>
    <row r="525" spans="1:16" s="419" customFormat="1" ht="12.75">
      <c r="A525" s="389" t="s">
        <v>286</v>
      </c>
      <c r="B525" s="381" t="s">
        <v>145</v>
      </c>
      <c r="C525" s="382" t="s">
        <v>99</v>
      </c>
      <c r="D525" s="199" t="s">
        <v>99</v>
      </c>
      <c r="E525" s="158" t="s">
        <v>99</v>
      </c>
      <c r="F525" s="159" t="s">
        <v>166</v>
      </c>
      <c r="G525" s="126" t="s">
        <v>168</v>
      </c>
      <c r="H525" s="126" t="s">
        <v>168</v>
      </c>
      <c r="I525" s="159" t="s">
        <v>22</v>
      </c>
      <c r="J525" s="128" t="s">
        <v>168</v>
      </c>
      <c r="K525" s="399"/>
      <c r="L525" s="154">
        <f>L527</f>
        <v>70000</v>
      </c>
      <c r="M525" s="72">
        <f>M527</f>
        <v>0</v>
      </c>
      <c r="N525" s="73">
        <f>N527</f>
        <v>70000</v>
      </c>
      <c r="O525" s="72">
        <f>O527</f>
        <v>70000</v>
      </c>
      <c r="P525" s="73">
        <f>P527</f>
        <v>70000</v>
      </c>
    </row>
    <row r="526" spans="1:16" s="419" customFormat="1" ht="25.5">
      <c r="A526" s="389" t="s">
        <v>29</v>
      </c>
      <c r="B526" s="381" t="s">
        <v>145</v>
      </c>
      <c r="C526" s="382" t="s">
        <v>99</v>
      </c>
      <c r="D526" s="199" t="s">
        <v>99</v>
      </c>
      <c r="E526" s="158" t="s">
        <v>99</v>
      </c>
      <c r="F526" s="159" t="s">
        <v>166</v>
      </c>
      <c r="G526" s="126" t="s">
        <v>168</v>
      </c>
      <c r="H526" s="126" t="s">
        <v>168</v>
      </c>
      <c r="I526" s="159" t="s">
        <v>22</v>
      </c>
      <c r="J526" s="128" t="s">
        <v>168</v>
      </c>
      <c r="K526" s="399" t="s">
        <v>182</v>
      </c>
      <c r="L526" s="154">
        <f>L527</f>
        <v>70000</v>
      </c>
      <c r="M526" s="72">
        <f>M527</f>
        <v>0</v>
      </c>
      <c r="N526" s="73">
        <f>N527</f>
        <v>70000</v>
      </c>
      <c r="O526" s="72">
        <f>O527</f>
        <v>70000</v>
      </c>
      <c r="P526" s="73">
        <f>P527</f>
        <v>70000</v>
      </c>
    </row>
    <row r="527" spans="1:16" s="419" customFormat="1" ht="12.75">
      <c r="A527" s="389" t="s">
        <v>30</v>
      </c>
      <c r="B527" s="381" t="s">
        <v>145</v>
      </c>
      <c r="C527" s="382" t="s">
        <v>99</v>
      </c>
      <c r="D527" s="199" t="s">
        <v>99</v>
      </c>
      <c r="E527" s="158" t="s">
        <v>99</v>
      </c>
      <c r="F527" s="159" t="s">
        <v>166</v>
      </c>
      <c r="G527" s="126" t="s">
        <v>168</v>
      </c>
      <c r="H527" s="126" t="s">
        <v>168</v>
      </c>
      <c r="I527" s="159" t="s">
        <v>22</v>
      </c>
      <c r="J527" s="128" t="s">
        <v>168</v>
      </c>
      <c r="K527" s="399" t="s">
        <v>31</v>
      </c>
      <c r="L527" s="154">
        <v>70000</v>
      </c>
      <c r="M527" s="72">
        <v>0</v>
      </c>
      <c r="N527" s="73">
        <v>70000</v>
      </c>
      <c r="O527" s="72">
        <v>70000</v>
      </c>
      <c r="P527" s="73">
        <v>70000</v>
      </c>
    </row>
    <row r="528" spans="1:16" s="419" customFormat="1" ht="12.75">
      <c r="A528" s="380" t="s">
        <v>54</v>
      </c>
      <c r="B528" s="381" t="s">
        <v>145</v>
      </c>
      <c r="C528" s="198" t="s">
        <v>100</v>
      </c>
      <c r="D528" s="382"/>
      <c r="E528" s="199"/>
      <c r="F528" s="199"/>
      <c r="G528" s="126"/>
      <c r="H528" s="126"/>
      <c r="I528" s="199"/>
      <c r="J528" s="183"/>
      <c r="K528" s="393"/>
      <c r="L528" s="279" t="e">
        <f>L529+L566</f>
        <v>#REF!</v>
      </c>
      <c r="M528" s="387" t="e">
        <f>M529+M566</f>
        <v>#REF!</v>
      </c>
      <c r="N528" s="388">
        <f>N529+N566</f>
        <v>175446538.31</v>
      </c>
      <c r="O528" s="387">
        <f>O529+O566</f>
        <v>176364938.31</v>
      </c>
      <c r="P528" s="388">
        <f>P529+P566</f>
        <v>175807383.24</v>
      </c>
    </row>
    <row r="529" spans="1:16" s="419" customFormat="1" ht="12.75">
      <c r="A529" s="380" t="s">
        <v>117</v>
      </c>
      <c r="B529" s="381" t="s">
        <v>145</v>
      </c>
      <c r="C529" s="198" t="s">
        <v>100</v>
      </c>
      <c r="D529" s="382" t="s">
        <v>94</v>
      </c>
      <c r="E529" s="199"/>
      <c r="F529" s="199"/>
      <c r="G529" s="126"/>
      <c r="H529" s="126"/>
      <c r="I529" s="199"/>
      <c r="J529" s="183"/>
      <c r="K529" s="393"/>
      <c r="L529" s="279" t="e">
        <f>L530</f>
        <v>#REF!</v>
      </c>
      <c r="M529" s="387" t="e">
        <f>M530</f>
        <v>#REF!</v>
      </c>
      <c r="N529" s="388">
        <f>N530</f>
        <v>167171693.23</v>
      </c>
      <c r="O529" s="387">
        <f>O530</f>
        <v>168090093.23</v>
      </c>
      <c r="P529" s="388">
        <f>P530</f>
        <v>167532538.16</v>
      </c>
    </row>
    <row r="530" spans="1:16" ht="25.5" customHeight="1">
      <c r="A530" s="389" t="s">
        <v>368</v>
      </c>
      <c r="B530" s="381" t="s">
        <v>145</v>
      </c>
      <c r="C530" s="198" t="s">
        <v>100</v>
      </c>
      <c r="D530" s="382" t="s">
        <v>94</v>
      </c>
      <c r="E530" s="153" t="s">
        <v>94</v>
      </c>
      <c r="F530" s="153" t="s">
        <v>168</v>
      </c>
      <c r="G530" s="126" t="s">
        <v>168</v>
      </c>
      <c r="H530" s="126" t="s">
        <v>168</v>
      </c>
      <c r="I530" s="153" t="s">
        <v>169</v>
      </c>
      <c r="J530" s="128" t="s">
        <v>168</v>
      </c>
      <c r="K530" s="400"/>
      <c r="L530" s="154" t="e">
        <f>L531+L550</f>
        <v>#REF!</v>
      </c>
      <c r="M530" s="72" t="e">
        <f>M531+M550</f>
        <v>#REF!</v>
      </c>
      <c r="N530" s="73">
        <f>N531+N550</f>
        <v>167171693.23</v>
      </c>
      <c r="O530" s="72">
        <f>O531+O550</f>
        <v>168090093.23</v>
      </c>
      <c r="P530" s="73">
        <f>P531+P550</f>
        <v>167532538.16</v>
      </c>
    </row>
    <row r="531" spans="1:16" ht="25.5">
      <c r="A531" s="449" t="s">
        <v>17</v>
      </c>
      <c r="B531" s="381" t="s">
        <v>145</v>
      </c>
      <c r="C531" s="198" t="s">
        <v>100</v>
      </c>
      <c r="D531" s="382" t="s">
        <v>94</v>
      </c>
      <c r="E531" s="153" t="s">
        <v>94</v>
      </c>
      <c r="F531" s="153" t="s">
        <v>170</v>
      </c>
      <c r="G531" s="126" t="s">
        <v>168</v>
      </c>
      <c r="H531" s="126" t="s">
        <v>168</v>
      </c>
      <c r="I531" s="153" t="s">
        <v>169</v>
      </c>
      <c r="J531" s="128" t="s">
        <v>168</v>
      </c>
      <c r="K531" s="400"/>
      <c r="L531" s="154" t="e">
        <f>L535+L538+#REF!+L541+L532+#REF!+#REF!+L544</f>
        <v>#REF!</v>
      </c>
      <c r="M531" s="72" t="e">
        <f>M535+M538+#REF!+M541+M532+#REF!+#REF!+M544</f>
        <v>#REF!</v>
      </c>
      <c r="N531" s="73">
        <f>N535+N538+N541+N532+N544+N547</f>
        <v>121960020</v>
      </c>
      <c r="O531" s="72">
        <f>O535+O538+O541+O532+O544+O547</f>
        <v>121981920</v>
      </c>
      <c r="P531" s="73">
        <f>P535+P538+P541+P532+P544+P547</f>
        <v>121981920</v>
      </c>
    </row>
    <row r="532" spans="1:16" ht="76.5" hidden="1">
      <c r="A532" s="449" t="s">
        <v>280</v>
      </c>
      <c r="B532" s="432">
        <v>334</v>
      </c>
      <c r="C532" s="198" t="s">
        <v>100</v>
      </c>
      <c r="D532" s="382" t="s">
        <v>94</v>
      </c>
      <c r="E532" s="153" t="s">
        <v>94</v>
      </c>
      <c r="F532" s="153" t="s">
        <v>170</v>
      </c>
      <c r="G532" s="126" t="s">
        <v>168</v>
      </c>
      <c r="H532" s="126" t="s">
        <v>168</v>
      </c>
      <c r="I532" s="127" t="s">
        <v>288</v>
      </c>
      <c r="J532" s="128" t="s">
        <v>168</v>
      </c>
      <c r="K532" s="391"/>
      <c r="L532" s="154">
        <f aca="true" t="shared" si="115" ref="L532:P533">L533</f>
        <v>25153.82</v>
      </c>
      <c r="M532" s="72">
        <f t="shared" si="115"/>
        <v>0</v>
      </c>
      <c r="N532" s="73">
        <f t="shared" si="115"/>
        <v>0</v>
      </c>
      <c r="O532" s="72">
        <f t="shared" si="115"/>
        <v>0</v>
      </c>
      <c r="P532" s="73">
        <f t="shared" si="115"/>
        <v>0</v>
      </c>
    </row>
    <row r="533" spans="1:16" ht="25.5" hidden="1">
      <c r="A533" s="389" t="s">
        <v>29</v>
      </c>
      <c r="B533" s="432">
        <v>334</v>
      </c>
      <c r="C533" s="198" t="s">
        <v>100</v>
      </c>
      <c r="D533" s="382" t="s">
        <v>94</v>
      </c>
      <c r="E533" s="153" t="s">
        <v>94</v>
      </c>
      <c r="F533" s="153" t="s">
        <v>170</v>
      </c>
      <c r="G533" s="126" t="s">
        <v>168</v>
      </c>
      <c r="H533" s="126" t="s">
        <v>168</v>
      </c>
      <c r="I533" s="127" t="s">
        <v>288</v>
      </c>
      <c r="J533" s="128" t="s">
        <v>168</v>
      </c>
      <c r="K533" s="391">
        <v>600</v>
      </c>
      <c r="L533" s="154">
        <f t="shared" si="115"/>
        <v>25153.82</v>
      </c>
      <c r="M533" s="72">
        <f t="shared" si="115"/>
        <v>0</v>
      </c>
      <c r="N533" s="73">
        <f t="shared" si="115"/>
        <v>0</v>
      </c>
      <c r="O533" s="72">
        <f t="shared" si="115"/>
        <v>0</v>
      </c>
      <c r="P533" s="73">
        <f t="shared" si="115"/>
        <v>0</v>
      </c>
    </row>
    <row r="534" spans="1:16" ht="12.75" hidden="1">
      <c r="A534" s="389" t="s">
        <v>30</v>
      </c>
      <c r="B534" s="432">
        <v>334</v>
      </c>
      <c r="C534" s="198" t="s">
        <v>100</v>
      </c>
      <c r="D534" s="382" t="s">
        <v>94</v>
      </c>
      <c r="E534" s="153" t="s">
        <v>94</v>
      </c>
      <c r="F534" s="153" t="s">
        <v>170</v>
      </c>
      <c r="G534" s="126" t="s">
        <v>168</v>
      </c>
      <c r="H534" s="126" t="s">
        <v>168</v>
      </c>
      <c r="I534" s="127" t="s">
        <v>288</v>
      </c>
      <c r="J534" s="128" t="s">
        <v>168</v>
      </c>
      <c r="K534" s="391" t="s">
        <v>31</v>
      </c>
      <c r="L534" s="154">
        <v>25153.82</v>
      </c>
      <c r="M534" s="72">
        <v>0</v>
      </c>
      <c r="N534" s="73">
        <v>0</v>
      </c>
      <c r="O534" s="72">
        <v>0</v>
      </c>
      <c r="P534" s="73">
        <v>0</v>
      </c>
    </row>
    <row r="535" spans="1:16" ht="18" customHeight="1">
      <c r="A535" s="389" t="s">
        <v>18</v>
      </c>
      <c r="B535" s="381" t="s">
        <v>145</v>
      </c>
      <c r="C535" s="198" t="s">
        <v>100</v>
      </c>
      <c r="D535" s="382" t="s">
        <v>94</v>
      </c>
      <c r="E535" s="153" t="s">
        <v>94</v>
      </c>
      <c r="F535" s="153" t="s">
        <v>170</v>
      </c>
      <c r="G535" s="126" t="s">
        <v>168</v>
      </c>
      <c r="H535" s="126" t="s">
        <v>168</v>
      </c>
      <c r="I535" s="153" t="s">
        <v>20</v>
      </c>
      <c r="J535" s="128" t="s">
        <v>168</v>
      </c>
      <c r="K535" s="400"/>
      <c r="L535" s="154" t="e">
        <f>#REF!+L536</f>
        <v>#REF!</v>
      </c>
      <c r="M535" s="72" t="e">
        <f>#REF!+M536</f>
        <v>#REF!</v>
      </c>
      <c r="N535" s="73">
        <f aca="true" t="shared" si="116" ref="N535:P536">N536</f>
        <v>750000</v>
      </c>
      <c r="O535" s="72">
        <f t="shared" si="116"/>
        <v>771900</v>
      </c>
      <c r="P535" s="73">
        <f t="shared" si="116"/>
        <v>771900</v>
      </c>
    </row>
    <row r="536" spans="1:16" ht="25.5">
      <c r="A536" s="389" t="s">
        <v>29</v>
      </c>
      <c r="B536" s="381" t="s">
        <v>145</v>
      </c>
      <c r="C536" s="198" t="s">
        <v>100</v>
      </c>
      <c r="D536" s="382" t="s">
        <v>94</v>
      </c>
      <c r="E536" s="126" t="s">
        <v>94</v>
      </c>
      <c r="F536" s="126" t="s">
        <v>170</v>
      </c>
      <c r="G536" s="126" t="s">
        <v>168</v>
      </c>
      <c r="H536" s="126" t="s">
        <v>168</v>
      </c>
      <c r="I536" s="153" t="s">
        <v>20</v>
      </c>
      <c r="J536" s="128" t="s">
        <v>168</v>
      </c>
      <c r="K536" s="391">
        <v>600</v>
      </c>
      <c r="L536" s="279">
        <f>L537</f>
        <v>494308</v>
      </c>
      <c r="M536" s="387">
        <f>M537</f>
        <v>0</v>
      </c>
      <c r="N536" s="388">
        <f t="shared" si="116"/>
        <v>750000</v>
      </c>
      <c r="O536" s="387">
        <f t="shared" si="116"/>
        <v>771900</v>
      </c>
      <c r="P536" s="388">
        <f t="shared" si="116"/>
        <v>771900</v>
      </c>
    </row>
    <row r="537" spans="1:16" ht="12.75">
      <c r="A537" s="389" t="s">
        <v>30</v>
      </c>
      <c r="B537" s="381" t="s">
        <v>145</v>
      </c>
      <c r="C537" s="198" t="s">
        <v>100</v>
      </c>
      <c r="D537" s="382" t="s">
        <v>94</v>
      </c>
      <c r="E537" s="126" t="s">
        <v>94</v>
      </c>
      <c r="F537" s="126" t="s">
        <v>170</v>
      </c>
      <c r="G537" s="126" t="s">
        <v>168</v>
      </c>
      <c r="H537" s="126" t="s">
        <v>168</v>
      </c>
      <c r="I537" s="126" t="s">
        <v>20</v>
      </c>
      <c r="J537" s="128" t="s">
        <v>168</v>
      </c>
      <c r="K537" s="391" t="s">
        <v>31</v>
      </c>
      <c r="L537" s="279">
        <f>530000+14300+8-50000</f>
        <v>494308</v>
      </c>
      <c r="M537" s="387">
        <v>0</v>
      </c>
      <c r="N537" s="388">
        <v>750000</v>
      </c>
      <c r="O537" s="387">
        <v>771900</v>
      </c>
      <c r="P537" s="388">
        <v>771900</v>
      </c>
    </row>
    <row r="538" spans="1:16" ht="12.75">
      <c r="A538" s="389" t="s">
        <v>176</v>
      </c>
      <c r="B538" s="432">
        <v>334</v>
      </c>
      <c r="C538" s="198" t="s">
        <v>100</v>
      </c>
      <c r="D538" s="382" t="s">
        <v>94</v>
      </c>
      <c r="E538" s="153" t="s">
        <v>94</v>
      </c>
      <c r="F538" s="153" t="s">
        <v>170</v>
      </c>
      <c r="G538" s="126" t="s">
        <v>168</v>
      </c>
      <c r="H538" s="126" t="s">
        <v>168</v>
      </c>
      <c r="I538" s="127" t="s">
        <v>177</v>
      </c>
      <c r="J538" s="128" t="s">
        <v>168</v>
      </c>
      <c r="K538" s="391"/>
      <c r="L538" s="154">
        <f aca="true" t="shared" si="117" ref="L538:P539">L539</f>
        <v>21697000</v>
      </c>
      <c r="M538" s="72">
        <f t="shared" si="117"/>
        <v>0</v>
      </c>
      <c r="N538" s="73">
        <f t="shared" si="117"/>
        <v>120576120</v>
      </c>
      <c r="O538" s="72">
        <f t="shared" si="117"/>
        <v>120576120</v>
      </c>
      <c r="P538" s="73">
        <f t="shared" si="117"/>
        <v>120576120</v>
      </c>
    </row>
    <row r="539" spans="1:16" ht="25.5">
      <c r="A539" s="389" t="s">
        <v>29</v>
      </c>
      <c r="B539" s="432">
        <v>334</v>
      </c>
      <c r="C539" s="198" t="s">
        <v>100</v>
      </c>
      <c r="D539" s="382" t="s">
        <v>94</v>
      </c>
      <c r="E539" s="153" t="s">
        <v>94</v>
      </c>
      <c r="F539" s="153" t="s">
        <v>170</v>
      </c>
      <c r="G539" s="126" t="s">
        <v>168</v>
      </c>
      <c r="H539" s="126" t="s">
        <v>168</v>
      </c>
      <c r="I539" s="127" t="s">
        <v>177</v>
      </c>
      <c r="J539" s="128" t="s">
        <v>168</v>
      </c>
      <c r="K539" s="391">
        <v>600</v>
      </c>
      <c r="L539" s="154">
        <f t="shared" si="117"/>
        <v>21697000</v>
      </c>
      <c r="M539" s="72">
        <f t="shared" si="117"/>
        <v>0</v>
      </c>
      <c r="N539" s="73">
        <f t="shared" si="117"/>
        <v>120576120</v>
      </c>
      <c r="O539" s="72">
        <f t="shared" si="117"/>
        <v>120576120</v>
      </c>
      <c r="P539" s="73">
        <f t="shared" si="117"/>
        <v>120576120</v>
      </c>
    </row>
    <row r="540" spans="1:16" ht="12.75">
      <c r="A540" s="389" t="s">
        <v>30</v>
      </c>
      <c r="B540" s="432">
        <v>334</v>
      </c>
      <c r="C540" s="198" t="s">
        <v>100</v>
      </c>
      <c r="D540" s="382" t="s">
        <v>94</v>
      </c>
      <c r="E540" s="153" t="s">
        <v>94</v>
      </c>
      <c r="F540" s="153" t="s">
        <v>170</v>
      </c>
      <c r="G540" s="126" t="s">
        <v>168</v>
      </c>
      <c r="H540" s="126" t="s">
        <v>168</v>
      </c>
      <c r="I540" s="127" t="s">
        <v>177</v>
      </c>
      <c r="J540" s="128" t="s">
        <v>168</v>
      </c>
      <c r="K540" s="391" t="s">
        <v>31</v>
      </c>
      <c r="L540" s="154">
        <v>21697000</v>
      </c>
      <c r="M540" s="72">
        <v>0</v>
      </c>
      <c r="N540" s="73">
        <v>120576120</v>
      </c>
      <c r="O540" s="72">
        <v>120576120</v>
      </c>
      <c r="P540" s="73">
        <v>120576120</v>
      </c>
    </row>
    <row r="541" spans="1:18" ht="38.25">
      <c r="A541" s="380" t="s">
        <v>381</v>
      </c>
      <c r="B541" s="432">
        <v>334</v>
      </c>
      <c r="C541" s="198" t="s">
        <v>100</v>
      </c>
      <c r="D541" s="382" t="s">
        <v>94</v>
      </c>
      <c r="E541" s="153" t="s">
        <v>94</v>
      </c>
      <c r="F541" s="153" t="s">
        <v>170</v>
      </c>
      <c r="G541" s="126" t="s">
        <v>168</v>
      </c>
      <c r="H541" s="126" t="s">
        <v>168</v>
      </c>
      <c r="I541" s="127" t="s">
        <v>287</v>
      </c>
      <c r="J541" s="128" t="s">
        <v>168</v>
      </c>
      <c r="K541" s="391"/>
      <c r="L541" s="154">
        <f aca="true" t="shared" si="118" ref="L541:P542">L542</f>
        <v>408746.18000000005</v>
      </c>
      <c r="M541" s="72">
        <f t="shared" si="118"/>
        <v>0</v>
      </c>
      <c r="N541" s="73">
        <f t="shared" si="118"/>
        <v>0</v>
      </c>
      <c r="O541" s="72">
        <f t="shared" si="118"/>
        <v>633900</v>
      </c>
      <c r="P541" s="73">
        <f t="shared" si="118"/>
        <v>633900</v>
      </c>
      <c r="Q541" s="394"/>
      <c r="R541" s="394"/>
    </row>
    <row r="542" spans="1:16" ht="25.5">
      <c r="A542" s="389" t="s">
        <v>29</v>
      </c>
      <c r="B542" s="432">
        <v>334</v>
      </c>
      <c r="C542" s="198" t="s">
        <v>100</v>
      </c>
      <c r="D542" s="382" t="s">
        <v>94</v>
      </c>
      <c r="E542" s="153" t="s">
        <v>94</v>
      </c>
      <c r="F542" s="153" t="s">
        <v>170</v>
      </c>
      <c r="G542" s="126" t="s">
        <v>168</v>
      </c>
      <c r="H542" s="126" t="s">
        <v>168</v>
      </c>
      <c r="I542" s="127" t="s">
        <v>287</v>
      </c>
      <c r="J542" s="128" t="s">
        <v>168</v>
      </c>
      <c r="K542" s="391">
        <v>600</v>
      </c>
      <c r="L542" s="154">
        <f t="shared" si="118"/>
        <v>408746.18000000005</v>
      </c>
      <c r="M542" s="72">
        <f t="shared" si="118"/>
        <v>0</v>
      </c>
      <c r="N542" s="73">
        <f t="shared" si="118"/>
        <v>0</v>
      </c>
      <c r="O542" s="72">
        <f t="shared" si="118"/>
        <v>633900</v>
      </c>
      <c r="P542" s="73">
        <f t="shared" si="118"/>
        <v>633900</v>
      </c>
    </row>
    <row r="543" spans="1:16" ht="12.75">
      <c r="A543" s="389" t="s">
        <v>30</v>
      </c>
      <c r="B543" s="432">
        <v>334</v>
      </c>
      <c r="C543" s="198" t="s">
        <v>100</v>
      </c>
      <c r="D543" s="382" t="s">
        <v>94</v>
      </c>
      <c r="E543" s="153" t="s">
        <v>94</v>
      </c>
      <c r="F543" s="153" t="s">
        <v>170</v>
      </c>
      <c r="G543" s="126" t="s">
        <v>168</v>
      </c>
      <c r="H543" s="126" t="s">
        <v>168</v>
      </c>
      <c r="I543" s="127" t="s">
        <v>287</v>
      </c>
      <c r="J543" s="128" t="s">
        <v>168</v>
      </c>
      <c r="K543" s="391" t="s">
        <v>31</v>
      </c>
      <c r="L543" s="154">
        <f>798046.18-390000+700</f>
        <v>408746.18000000005</v>
      </c>
      <c r="M543" s="72">
        <v>0</v>
      </c>
      <c r="N543" s="73">
        <v>0</v>
      </c>
      <c r="O543" s="72">
        <v>633900</v>
      </c>
      <c r="P543" s="73">
        <v>633900</v>
      </c>
    </row>
    <row r="544" spans="1:16" ht="12.75" hidden="1">
      <c r="A544" s="389" t="s">
        <v>312</v>
      </c>
      <c r="B544" s="381" t="s">
        <v>145</v>
      </c>
      <c r="C544" s="198" t="s">
        <v>100</v>
      </c>
      <c r="D544" s="382" t="s">
        <v>94</v>
      </c>
      <c r="E544" s="126" t="s">
        <v>94</v>
      </c>
      <c r="F544" s="125" t="s">
        <v>170</v>
      </c>
      <c r="G544" s="126" t="s">
        <v>168</v>
      </c>
      <c r="H544" s="126" t="s">
        <v>168</v>
      </c>
      <c r="I544" s="127" t="s">
        <v>327</v>
      </c>
      <c r="J544" s="128" t="s">
        <v>168</v>
      </c>
      <c r="K544" s="391"/>
      <c r="L544" s="154">
        <f aca="true" t="shared" si="119" ref="L544:P545">L545</f>
        <v>1764866.65</v>
      </c>
      <c r="M544" s="72">
        <f t="shared" si="119"/>
        <v>0</v>
      </c>
      <c r="N544" s="73">
        <f t="shared" si="119"/>
        <v>0</v>
      </c>
      <c r="O544" s="72">
        <f t="shared" si="119"/>
        <v>0</v>
      </c>
      <c r="P544" s="73">
        <f t="shared" si="119"/>
        <v>0</v>
      </c>
    </row>
    <row r="545" spans="1:16" ht="25.5" hidden="1">
      <c r="A545" s="389" t="s">
        <v>29</v>
      </c>
      <c r="B545" s="381" t="s">
        <v>145</v>
      </c>
      <c r="C545" s="198" t="s">
        <v>100</v>
      </c>
      <c r="D545" s="382" t="s">
        <v>94</v>
      </c>
      <c r="E545" s="126" t="s">
        <v>94</v>
      </c>
      <c r="F545" s="125" t="s">
        <v>170</v>
      </c>
      <c r="G545" s="126" t="s">
        <v>168</v>
      </c>
      <c r="H545" s="126" t="s">
        <v>168</v>
      </c>
      <c r="I545" s="127" t="s">
        <v>327</v>
      </c>
      <c r="J545" s="128" t="s">
        <v>168</v>
      </c>
      <c r="K545" s="391" t="s">
        <v>182</v>
      </c>
      <c r="L545" s="154">
        <f t="shared" si="119"/>
        <v>1764866.65</v>
      </c>
      <c r="M545" s="72">
        <f t="shared" si="119"/>
        <v>0</v>
      </c>
      <c r="N545" s="73">
        <f t="shared" si="119"/>
        <v>0</v>
      </c>
      <c r="O545" s="72">
        <f t="shared" si="119"/>
        <v>0</v>
      </c>
      <c r="P545" s="73">
        <f t="shared" si="119"/>
        <v>0</v>
      </c>
    </row>
    <row r="546" spans="1:16" ht="12.75" hidden="1">
      <c r="A546" s="389" t="s">
        <v>30</v>
      </c>
      <c r="B546" s="381" t="s">
        <v>145</v>
      </c>
      <c r="C546" s="198" t="s">
        <v>100</v>
      </c>
      <c r="D546" s="382" t="s">
        <v>94</v>
      </c>
      <c r="E546" s="126" t="s">
        <v>94</v>
      </c>
      <c r="F546" s="125" t="s">
        <v>170</v>
      </c>
      <c r="G546" s="126" t="s">
        <v>168</v>
      </c>
      <c r="H546" s="126" t="s">
        <v>168</v>
      </c>
      <c r="I546" s="127" t="s">
        <v>327</v>
      </c>
      <c r="J546" s="128" t="s">
        <v>168</v>
      </c>
      <c r="K546" s="391" t="s">
        <v>31</v>
      </c>
      <c r="L546" s="154">
        <f>1658974.65+105892</f>
        <v>1764866.65</v>
      </c>
      <c r="M546" s="72">
        <v>0</v>
      </c>
      <c r="N546" s="73">
        <v>0</v>
      </c>
      <c r="O546" s="72">
        <v>0</v>
      </c>
      <c r="P546" s="73">
        <v>0</v>
      </c>
    </row>
    <row r="547" spans="1:16" ht="89.25">
      <c r="A547" s="449" t="s">
        <v>358</v>
      </c>
      <c r="B547" s="432">
        <v>334</v>
      </c>
      <c r="C547" s="198" t="s">
        <v>100</v>
      </c>
      <c r="D547" s="382" t="s">
        <v>94</v>
      </c>
      <c r="E547" s="153" t="s">
        <v>94</v>
      </c>
      <c r="F547" s="153" t="s">
        <v>170</v>
      </c>
      <c r="G547" s="126" t="s">
        <v>168</v>
      </c>
      <c r="H547" s="126" t="s">
        <v>168</v>
      </c>
      <c r="I547" s="127" t="s">
        <v>339</v>
      </c>
      <c r="J547" s="128" t="s">
        <v>168</v>
      </c>
      <c r="K547" s="391"/>
      <c r="L547" s="154"/>
      <c r="M547" s="72"/>
      <c r="N547" s="73">
        <f aca="true" t="shared" si="120" ref="N547:P548">N548</f>
        <v>633900</v>
      </c>
      <c r="O547" s="72">
        <f t="shared" si="120"/>
        <v>0</v>
      </c>
      <c r="P547" s="73">
        <f t="shared" si="120"/>
        <v>0</v>
      </c>
    </row>
    <row r="548" spans="1:16" ht="25.5">
      <c r="A548" s="389" t="s">
        <v>29</v>
      </c>
      <c r="B548" s="432">
        <v>334</v>
      </c>
      <c r="C548" s="198" t="s">
        <v>100</v>
      </c>
      <c r="D548" s="382" t="s">
        <v>94</v>
      </c>
      <c r="E548" s="153" t="s">
        <v>94</v>
      </c>
      <c r="F548" s="153" t="s">
        <v>170</v>
      </c>
      <c r="G548" s="126" t="s">
        <v>168</v>
      </c>
      <c r="H548" s="126" t="s">
        <v>168</v>
      </c>
      <c r="I548" s="127" t="s">
        <v>339</v>
      </c>
      <c r="J548" s="128" t="s">
        <v>168</v>
      </c>
      <c r="K548" s="391">
        <v>600</v>
      </c>
      <c r="L548" s="154"/>
      <c r="M548" s="72"/>
      <c r="N548" s="73">
        <f t="shared" si="120"/>
        <v>633900</v>
      </c>
      <c r="O548" s="72">
        <f t="shared" si="120"/>
        <v>0</v>
      </c>
      <c r="P548" s="73">
        <f t="shared" si="120"/>
        <v>0</v>
      </c>
    </row>
    <row r="549" spans="1:16" ht="12.75">
      <c r="A549" s="389" t="s">
        <v>30</v>
      </c>
      <c r="B549" s="432">
        <v>334</v>
      </c>
      <c r="C549" s="198" t="s">
        <v>100</v>
      </c>
      <c r="D549" s="382" t="s">
        <v>94</v>
      </c>
      <c r="E549" s="153" t="s">
        <v>94</v>
      </c>
      <c r="F549" s="153" t="s">
        <v>170</v>
      </c>
      <c r="G549" s="126" t="s">
        <v>168</v>
      </c>
      <c r="H549" s="126" t="s">
        <v>168</v>
      </c>
      <c r="I549" s="127" t="s">
        <v>339</v>
      </c>
      <c r="J549" s="128" t="s">
        <v>168</v>
      </c>
      <c r="K549" s="391" t="s">
        <v>31</v>
      </c>
      <c r="L549" s="154"/>
      <c r="M549" s="72"/>
      <c r="N549" s="73">
        <f>28067.28+605832.72</f>
        <v>633900</v>
      </c>
      <c r="O549" s="72">
        <v>0</v>
      </c>
      <c r="P549" s="73">
        <v>0</v>
      </c>
    </row>
    <row r="550" spans="1:16" ht="25.5">
      <c r="A550" s="449" t="s">
        <v>298</v>
      </c>
      <c r="B550" s="381" t="s">
        <v>145</v>
      </c>
      <c r="C550" s="198" t="s">
        <v>100</v>
      </c>
      <c r="D550" s="382" t="s">
        <v>94</v>
      </c>
      <c r="E550" s="153" t="s">
        <v>94</v>
      </c>
      <c r="F550" s="153" t="s">
        <v>167</v>
      </c>
      <c r="G550" s="126" t="s">
        <v>168</v>
      </c>
      <c r="H550" s="126" t="s">
        <v>168</v>
      </c>
      <c r="I550" s="153" t="s">
        <v>169</v>
      </c>
      <c r="J550" s="128" t="s">
        <v>168</v>
      </c>
      <c r="K550" s="391"/>
      <c r="L550" s="154">
        <f>L554+L560+L557+L551</f>
        <v>36867254.87</v>
      </c>
      <c r="M550" s="72">
        <f>M554+M560+M557+M551</f>
        <v>0</v>
      </c>
      <c r="N550" s="73">
        <f>N554+N560+N557+N551+N563</f>
        <v>45211673.23</v>
      </c>
      <c r="O550" s="72">
        <f>O554+O560+O557+O551+O563</f>
        <v>46108173.23</v>
      </c>
      <c r="P550" s="73">
        <f>P554+P560+P557+P551+P563</f>
        <v>45550618.16</v>
      </c>
    </row>
    <row r="551" spans="1:16" ht="12.75">
      <c r="A551" s="389" t="s">
        <v>18</v>
      </c>
      <c r="B551" s="381" t="s">
        <v>145</v>
      </c>
      <c r="C551" s="198" t="s">
        <v>100</v>
      </c>
      <c r="D551" s="382" t="s">
        <v>94</v>
      </c>
      <c r="E551" s="153" t="s">
        <v>94</v>
      </c>
      <c r="F551" s="153" t="s">
        <v>167</v>
      </c>
      <c r="G551" s="126" t="s">
        <v>168</v>
      </c>
      <c r="H551" s="126" t="s">
        <v>168</v>
      </c>
      <c r="I551" s="153" t="s">
        <v>20</v>
      </c>
      <c r="J551" s="128" t="s">
        <v>168</v>
      </c>
      <c r="K551" s="400"/>
      <c r="L551" s="154">
        <f aca="true" t="shared" si="121" ref="L551:P552">L552</f>
        <v>500000</v>
      </c>
      <c r="M551" s="72">
        <f t="shared" si="121"/>
        <v>0</v>
      </c>
      <c r="N551" s="73">
        <f t="shared" si="121"/>
        <v>725737.61</v>
      </c>
      <c r="O551" s="72">
        <f t="shared" si="121"/>
        <v>1622237.61</v>
      </c>
      <c r="P551" s="73">
        <f t="shared" si="121"/>
        <v>1406590.91</v>
      </c>
    </row>
    <row r="552" spans="1:16" ht="25.5">
      <c r="A552" s="389" t="s">
        <v>29</v>
      </c>
      <c r="B552" s="381" t="s">
        <v>145</v>
      </c>
      <c r="C552" s="198" t="s">
        <v>100</v>
      </c>
      <c r="D552" s="382" t="s">
        <v>94</v>
      </c>
      <c r="E552" s="126" t="s">
        <v>94</v>
      </c>
      <c r="F552" s="126" t="s">
        <v>167</v>
      </c>
      <c r="G552" s="126" t="s">
        <v>168</v>
      </c>
      <c r="H552" s="126" t="s">
        <v>168</v>
      </c>
      <c r="I552" s="126" t="s">
        <v>20</v>
      </c>
      <c r="J552" s="128" t="s">
        <v>168</v>
      </c>
      <c r="K552" s="390" t="s">
        <v>182</v>
      </c>
      <c r="L552" s="279">
        <f t="shared" si="121"/>
        <v>500000</v>
      </c>
      <c r="M552" s="387">
        <f t="shared" si="121"/>
        <v>0</v>
      </c>
      <c r="N552" s="388">
        <f t="shared" si="121"/>
        <v>725737.61</v>
      </c>
      <c r="O552" s="387">
        <f t="shared" si="121"/>
        <v>1622237.61</v>
      </c>
      <c r="P552" s="388">
        <f t="shared" si="121"/>
        <v>1406590.91</v>
      </c>
    </row>
    <row r="553" spans="1:16" ht="12.75">
      <c r="A553" s="389" t="s">
        <v>30</v>
      </c>
      <c r="B553" s="381" t="s">
        <v>145</v>
      </c>
      <c r="C553" s="198" t="s">
        <v>100</v>
      </c>
      <c r="D553" s="382" t="s">
        <v>94</v>
      </c>
      <c r="E553" s="126" t="s">
        <v>94</v>
      </c>
      <c r="F553" s="126" t="s">
        <v>167</v>
      </c>
      <c r="G553" s="126" t="s">
        <v>168</v>
      </c>
      <c r="H553" s="126" t="s">
        <v>168</v>
      </c>
      <c r="I553" s="126" t="s">
        <v>20</v>
      </c>
      <c r="J553" s="128" t="s">
        <v>168</v>
      </c>
      <c r="K553" s="390" t="s">
        <v>31</v>
      </c>
      <c r="L553" s="279">
        <v>500000</v>
      </c>
      <c r="M553" s="387">
        <v>0</v>
      </c>
      <c r="N553" s="388">
        <v>725737.61</v>
      </c>
      <c r="O553" s="387">
        <v>1622237.61</v>
      </c>
      <c r="P553" s="388">
        <v>1406590.91</v>
      </c>
    </row>
    <row r="554" spans="1:16" ht="12.75">
      <c r="A554" s="389" t="s">
        <v>178</v>
      </c>
      <c r="B554" s="432">
        <v>334</v>
      </c>
      <c r="C554" s="198" t="s">
        <v>100</v>
      </c>
      <c r="D554" s="382" t="s">
        <v>94</v>
      </c>
      <c r="E554" s="153" t="s">
        <v>94</v>
      </c>
      <c r="F554" s="153" t="s">
        <v>167</v>
      </c>
      <c r="G554" s="126" t="s">
        <v>168</v>
      </c>
      <c r="H554" s="126" t="s">
        <v>168</v>
      </c>
      <c r="I554" s="127" t="s">
        <v>179</v>
      </c>
      <c r="J554" s="128" t="s">
        <v>168</v>
      </c>
      <c r="K554" s="391"/>
      <c r="L554" s="154">
        <f aca="true" t="shared" si="122" ref="L554:P555">L555</f>
        <v>35580000</v>
      </c>
      <c r="M554" s="72">
        <f t="shared" si="122"/>
        <v>0</v>
      </c>
      <c r="N554" s="73">
        <f t="shared" si="122"/>
        <v>43667300</v>
      </c>
      <c r="O554" s="72">
        <f t="shared" si="122"/>
        <v>43667300</v>
      </c>
      <c r="P554" s="73">
        <f t="shared" si="122"/>
        <v>43667300</v>
      </c>
    </row>
    <row r="555" spans="1:16" ht="25.5">
      <c r="A555" s="389" t="s">
        <v>29</v>
      </c>
      <c r="B555" s="432">
        <v>334</v>
      </c>
      <c r="C555" s="198" t="s">
        <v>100</v>
      </c>
      <c r="D555" s="382" t="s">
        <v>94</v>
      </c>
      <c r="E555" s="153" t="s">
        <v>94</v>
      </c>
      <c r="F555" s="153" t="s">
        <v>167</v>
      </c>
      <c r="G555" s="126" t="s">
        <v>168</v>
      </c>
      <c r="H555" s="126" t="s">
        <v>168</v>
      </c>
      <c r="I555" s="127" t="s">
        <v>179</v>
      </c>
      <c r="J555" s="128" t="s">
        <v>168</v>
      </c>
      <c r="K555" s="391">
        <v>600</v>
      </c>
      <c r="L555" s="154">
        <f t="shared" si="122"/>
        <v>35580000</v>
      </c>
      <c r="M555" s="72">
        <f t="shared" si="122"/>
        <v>0</v>
      </c>
      <c r="N555" s="73">
        <f t="shared" si="122"/>
        <v>43667300</v>
      </c>
      <c r="O555" s="72">
        <f t="shared" si="122"/>
        <v>43667300</v>
      </c>
      <c r="P555" s="73">
        <f t="shared" si="122"/>
        <v>43667300</v>
      </c>
    </row>
    <row r="556" spans="1:16" ht="12.75">
      <c r="A556" s="389" t="s">
        <v>30</v>
      </c>
      <c r="B556" s="432">
        <v>334</v>
      </c>
      <c r="C556" s="198" t="s">
        <v>100</v>
      </c>
      <c r="D556" s="382" t="s">
        <v>94</v>
      </c>
      <c r="E556" s="153" t="s">
        <v>94</v>
      </c>
      <c r="F556" s="153" t="s">
        <v>167</v>
      </c>
      <c r="G556" s="126" t="s">
        <v>168</v>
      </c>
      <c r="H556" s="126" t="s">
        <v>168</v>
      </c>
      <c r="I556" s="127" t="s">
        <v>179</v>
      </c>
      <c r="J556" s="128" t="s">
        <v>168</v>
      </c>
      <c r="K556" s="391" t="s">
        <v>31</v>
      </c>
      <c r="L556" s="154">
        <v>35580000</v>
      </c>
      <c r="M556" s="72">
        <v>0</v>
      </c>
      <c r="N556" s="73">
        <v>43667300</v>
      </c>
      <c r="O556" s="72">
        <v>43667300</v>
      </c>
      <c r="P556" s="73">
        <v>43667300</v>
      </c>
    </row>
    <row r="557" spans="1:16" ht="38.25">
      <c r="A557" s="380" t="s">
        <v>381</v>
      </c>
      <c r="B557" s="432">
        <v>334</v>
      </c>
      <c r="C557" s="198" t="s">
        <v>100</v>
      </c>
      <c r="D557" s="382" t="s">
        <v>94</v>
      </c>
      <c r="E557" s="153" t="s">
        <v>94</v>
      </c>
      <c r="F557" s="153" t="s">
        <v>167</v>
      </c>
      <c r="G557" s="126" t="s">
        <v>168</v>
      </c>
      <c r="H557" s="126" t="s">
        <v>168</v>
      </c>
      <c r="I557" s="127" t="s">
        <v>287</v>
      </c>
      <c r="J557" s="128" t="s">
        <v>168</v>
      </c>
      <c r="K557" s="391"/>
      <c r="L557" s="154">
        <f aca="true" t="shared" si="123" ref="L557:P558">L558</f>
        <v>390000</v>
      </c>
      <c r="M557" s="72">
        <f t="shared" si="123"/>
        <v>0</v>
      </c>
      <c r="N557" s="73">
        <f t="shared" si="123"/>
        <v>390000</v>
      </c>
      <c r="O557" s="72">
        <f t="shared" si="123"/>
        <v>390000</v>
      </c>
      <c r="P557" s="73">
        <f t="shared" si="123"/>
        <v>390000</v>
      </c>
    </row>
    <row r="558" spans="1:16" ht="25.5">
      <c r="A558" s="389" t="s">
        <v>29</v>
      </c>
      <c r="B558" s="432">
        <v>334</v>
      </c>
      <c r="C558" s="198" t="s">
        <v>100</v>
      </c>
      <c r="D558" s="382" t="s">
        <v>94</v>
      </c>
      <c r="E558" s="153" t="s">
        <v>94</v>
      </c>
      <c r="F558" s="153" t="s">
        <v>167</v>
      </c>
      <c r="G558" s="126" t="s">
        <v>168</v>
      </c>
      <c r="H558" s="126" t="s">
        <v>168</v>
      </c>
      <c r="I558" s="127" t="s">
        <v>287</v>
      </c>
      <c r="J558" s="128" t="s">
        <v>168</v>
      </c>
      <c r="K558" s="391">
        <v>600</v>
      </c>
      <c r="L558" s="154">
        <f t="shared" si="123"/>
        <v>390000</v>
      </c>
      <c r="M558" s="72">
        <f t="shared" si="123"/>
        <v>0</v>
      </c>
      <c r="N558" s="73">
        <f t="shared" si="123"/>
        <v>390000</v>
      </c>
      <c r="O558" s="72">
        <f t="shared" si="123"/>
        <v>390000</v>
      </c>
      <c r="P558" s="73">
        <f t="shared" si="123"/>
        <v>390000</v>
      </c>
    </row>
    <row r="559" spans="1:16" ht="12.75">
      <c r="A559" s="389" t="s">
        <v>30</v>
      </c>
      <c r="B559" s="432">
        <v>334</v>
      </c>
      <c r="C559" s="198" t="s">
        <v>100</v>
      </c>
      <c r="D559" s="382" t="s">
        <v>94</v>
      </c>
      <c r="E559" s="153" t="s">
        <v>94</v>
      </c>
      <c r="F559" s="153" t="s">
        <v>167</v>
      </c>
      <c r="G559" s="126" t="s">
        <v>168</v>
      </c>
      <c r="H559" s="126" t="s">
        <v>168</v>
      </c>
      <c r="I559" s="127" t="s">
        <v>287</v>
      </c>
      <c r="J559" s="128" t="s">
        <v>168</v>
      </c>
      <c r="K559" s="391" t="s">
        <v>31</v>
      </c>
      <c r="L559" s="154">
        <v>390000</v>
      </c>
      <c r="M559" s="72">
        <v>0</v>
      </c>
      <c r="N559" s="73">
        <v>390000</v>
      </c>
      <c r="O559" s="72">
        <v>390000</v>
      </c>
      <c r="P559" s="73">
        <v>390000</v>
      </c>
    </row>
    <row r="560" spans="1:16" ht="38.25">
      <c r="A560" s="449" t="s">
        <v>314</v>
      </c>
      <c r="B560" s="432">
        <v>334</v>
      </c>
      <c r="C560" s="198" t="s">
        <v>100</v>
      </c>
      <c r="D560" s="382" t="s">
        <v>94</v>
      </c>
      <c r="E560" s="153" t="s">
        <v>94</v>
      </c>
      <c r="F560" s="153" t="s">
        <v>167</v>
      </c>
      <c r="G560" s="126" t="s">
        <v>168</v>
      </c>
      <c r="H560" s="126" t="s">
        <v>168</v>
      </c>
      <c r="I560" s="127" t="s">
        <v>295</v>
      </c>
      <c r="J560" s="128" t="s">
        <v>313</v>
      </c>
      <c r="K560" s="391"/>
      <c r="L560" s="154">
        <f aca="true" t="shared" si="124" ref="L560:P561">L561</f>
        <v>397254.87</v>
      </c>
      <c r="M560" s="72">
        <f t="shared" si="124"/>
        <v>0</v>
      </c>
      <c r="N560" s="73">
        <f t="shared" si="124"/>
        <v>341908.37</v>
      </c>
      <c r="O560" s="72">
        <f t="shared" si="124"/>
        <v>341908.37</v>
      </c>
      <c r="P560" s="73">
        <f t="shared" si="124"/>
        <v>0</v>
      </c>
    </row>
    <row r="561" spans="1:16" ht="25.5">
      <c r="A561" s="389" t="s">
        <v>29</v>
      </c>
      <c r="B561" s="432">
        <v>334</v>
      </c>
      <c r="C561" s="198" t="s">
        <v>100</v>
      </c>
      <c r="D561" s="382" t="s">
        <v>94</v>
      </c>
      <c r="E561" s="153" t="s">
        <v>94</v>
      </c>
      <c r="F561" s="153" t="s">
        <v>167</v>
      </c>
      <c r="G561" s="126" t="s">
        <v>168</v>
      </c>
      <c r="H561" s="126" t="s">
        <v>168</v>
      </c>
      <c r="I561" s="127" t="s">
        <v>295</v>
      </c>
      <c r="J561" s="128" t="s">
        <v>313</v>
      </c>
      <c r="K561" s="391">
        <v>600</v>
      </c>
      <c r="L561" s="154">
        <f t="shared" si="124"/>
        <v>397254.87</v>
      </c>
      <c r="M561" s="72">
        <f t="shared" si="124"/>
        <v>0</v>
      </c>
      <c r="N561" s="73">
        <f t="shared" si="124"/>
        <v>341908.37</v>
      </c>
      <c r="O561" s="72">
        <f t="shared" si="124"/>
        <v>341908.37</v>
      </c>
      <c r="P561" s="73">
        <f t="shared" si="124"/>
        <v>0</v>
      </c>
    </row>
    <row r="562" spans="1:16" ht="12.75">
      <c r="A562" s="389" t="s">
        <v>30</v>
      </c>
      <c r="B562" s="432">
        <v>334</v>
      </c>
      <c r="C562" s="198" t="s">
        <v>100</v>
      </c>
      <c r="D562" s="382" t="s">
        <v>94</v>
      </c>
      <c r="E562" s="153" t="s">
        <v>94</v>
      </c>
      <c r="F562" s="153" t="s">
        <v>167</v>
      </c>
      <c r="G562" s="126" t="s">
        <v>168</v>
      </c>
      <c r="H562" s="126" t="s">
        <v>168</v>
      </c>
      <c r="I562" s="127" t="s">
        <v>295</v>
      </c>
      <c r="J562" s="128" t="s">
        <v>313</v>
      </c>
      <c r="K562" s="391" t="s">
        <v>31</v>
      </c>
      <c r="L562" s="154">
        <f>317254.87+80000</f>
        <v>397254.87</v>
      </c>
      <c r="M562" s="72">
        <v>0</v>
      </c>
      <c r="N562" s="73">
        <f>322555.07+19353.3</f>
        <v>341908.37</v>
      </c>
      <c r="O562" s="72">
        <f>322555.07+19353.3</f>
        <v>341908.37</v>
      </c>
      <c r="P562" s="73">
        <v>0</v>
      </c>
    </row>
    <row r="563" spans="1:16" ht="38.25">
      <c r="A563" s="389" t="s">
        <v>335</v>
      </c>
      <c r="B563" s="381" t="s">
        <v>145</v>
      </c>
      <c r="C563" s="198" t="s">
        <v>100</v>
      </c>
      <c r="D563" s="382" t="s">
        <v>94</v>
      </c>
      <c r="E563" s="153" t="s">
        <v>94</v>
      </c>
      <c r="F563" s="153" t="s">
        <v>167</v>
      </c>
      <c r="G563" s="126" t="s">
        <v>168</v>
      </c>
      <c r="H563" s="126" t="s">
        <v>168</v>
      </c>
      <c r="I563" s="153" t="s">
        <v>340</v>
      </c>
      <c r="J563" s="128" t="s">
        <v>168</v>
      </c>
      <c r="K563" s="400"/>
      <c r="L563" s="154"/>
      <c r="M563" s="72"/>
      <c r="N563" s="73">
        <f aca="true" t="shared" si="125" ref="N563:P564">N564</f>
        <v>86727.25</v>
      </c>
      <c r="O563" s="72">
        <f t="shared" si="125"/>
        <v>86727.25</v>
      </c>
      <c r="P563" s="73">
        <f t="shared" si="125"/>
        <v>86727.25</v>
      </c>
    </row>
    <row r="564" spans="1:16" ht="25.5">
      <c r="A564" s="389" t="s">
        <v>29</v>
      </c>
      <c r="B564" s="381" t="s">
        <v>145</v>
      </c>
      <c r="C564" s="198" t="s">
        <v>100</v>
      </c>
      <c r="D564" s="382" t="s">
        <v>94</v>
      </c>
      <c r="E564" s="126" t="s">
        <v>94</v>
      </c>
      <c r="F564" s="126" t="s">
        <v>167</v>
      </c>
      <c r="G564" s="126" t="s">
        <v>168</v>
      </c>
      <c r="H564" s="126" t="s">
        <v>168</v>
      </c>
      <c r="I564" s="126" t="s">
        <v>340</v>
      </c>
      <c r="J564" s="128" t="s">
        <v>168</v>
      </c>
      <c r="K564" s="390" t="s">
        <v>182</v>
      </c>
      <c r="L564" s="154"/>
      <c r="M564" s="72"/>
      <c r="N564" s="73">
        <f t="shared" si="125"/>
        <v>86727.25</v>
      </c>
      <c r="O564" s="72">
        <f t="shared" si="125"/>
        <v>86727.25</v>
      </c>
      <c r="P564" s="73">
        <f t="shared" si="125"/>
        <v>86727.25</v>
      </c>
    </row>
    <row r="565" spans="1:16" ht="12.75">
      <c r="A565" s="389" t="s">
        <v>30</v>
      </c>
      <c r="B565" s="381" t="s">
        <v>145</v>
      </c>
      <c r="C565" s="198" t="s">
        <v>100</v>
      </c>
      <c r="D565" s="382" t="s">
        <v>94</v>
      </c>
      <c r="E565" s="126" t="s">
        <v>94</v>
      </c>
      <c r="F565" s="126" t="s">
        <v>167</v>
      </c>
      <c r="G565" s="126" t="s">
        <v>168</v>
      </c>
      <c r="H565" s="126" t="s">
        <v>168</v>
      </c>
      <c r="I565" s="126" t="s">
        <v>340</v>
      </c>
      <c r="J565" s="128" t="s">
        <v>168</v>
      </c>
      <c r="K565" s="390" t="s">
        <v>31</v>
      </c>
      <c r="L565" s="154"/>
      <c r="M565" s="72"/>
      <c r="N565" s="73">
        <f>81818.16+4909.09</f>
        <v>86727.25</v>
      </c>
      <c r="O565" s="72">
        <f>81818.16+4909.09</f>
        <v>86727.25</v>
      </c>
      <c r="P565" s="73">
        <f>81818.16+4909.09</f>
        <v>86727.25</v>
      </c>
    </row>
    <row r="566" spans="1:16" ht="17.25" customHeight="1">
      <c r="A566" s="380" t="s">
        <v>152</v>
      </c>
      <c r="B566" s="432">
        <v>334</v>
      </c>
      <c r="C566" s="198" t="s">
        <v>100</v>
      </c>
      <c r="D566" s="382" t="s">
        <v>96</v>
      </c>
      <c r="E566" s="488"/>
      <c r="F566" s="488"/>
      <c r="G566" s="126"/>
      <c r="H566" s="126"/>
      <c r="I566" s="199"/>
      <c r="J566" s="128"/>
      <c r="K566" s="393"/>
      <c r="L566" s="279">
        <f aca="true" t="shared" si="126" ref="L566:N568">L567</f>
        <v>5729400</v>
      </c>
      <c r="M566" s="387">
        <f t="shared" si="126"/>
        <v>0</v>
      </c>
      <c r="N566" s="388">
        <f t="shared" si="126"/>
        <v>8274845.08</v>
      </c>
      <c r="O566" s="387">
        <f aca="true" t="shared" si="127" ref="O566:P568">O567</f>
        <v>8274845.08</v>
      </c>
      <c r="P566" s="388">
        <f t="shared" si="127"/>
        <v>8274845.08</v>
      </c>
    </row>
    <row r="567" spans="1:16" ht="25.5">
      <c r="A567" s="389" t="s">
        <v>368</v>
      </c>
      <c r="B567" s="381" t="s">
        <v>145</v>
      </c>
      <c r="C567" s="198" t="s">
        <v>100</v>
      </c>
      <c r="D567" s="382" t="s">
        <v>96</v>
      </c>
      <c r="E567" s="153" t="s">
        <v>94</v>
      </c>
      <c r="F567" s="153" t="s">
        <v>168</v>
      </c>
      <c r="G567" s="126" t="s">
        <v>168</v>
      </c>
      <c r="H567" s="126" t="s">
        <v>168</v>
      </c>
      <c r="I567" s="153" t="s">
        <v>169</v>
      </c>
      <c r="J567" s="128" t="s">
        <v>168</v>
      </c>
      <c r="K567" s="393"/>
      <c r="L567" s="279">
        <f t="shared" si="126"/>
        <v>5729400</v>
      </c>
      <c r="M567" s="387">
        <f t="shared" si="126"/>
        <v>0</v>
      </c>
      <c r="N567" s="388">
        <f t="shared" si="126"/>
        <v>8274845.08</v>
      </c>
      <c r="O567" s="387">
        <f t="shared" si="127"/>
        <v>8274845.08</v>
      </c>
      <c r="P567" s="388">
        <f t="shared" si="127"/>
        <v>8274845.08</v>
      </c>
    </row>
    <row r="568" spans="1:16" ht="25.5">
      <c r="A568" s="449" t="s">
        <v>17</v>
      </c>
      <c r="B568" s="381" t="s">
        <v>145</v>
      </c>
      <c r="C568" s="198" t="s">
        <v>100</v>
      </c>
      <c r="D568" s="382" t="s">
        <v>96</v>
      </c>
      <c r="E568" s="153" t="s">
        <v>94</v>
      </c>
      <c r="F568" s="153" t="s">
        <v>170</v>
      </c>
      <c r="G568" s="126" t="s">
        <v>168</v>
      </c>
      <c r="H568" s="126" t="s">
        <v>168</v>
      </c>
      <c r="I568" s="153" t="s">
        <v>169</v>
      </c>
      <c r="J568" s="128" t="s">
        <v>168</v>
      </c>
      <c r="K568" s="390"/>
      <c r="L568" s="154">
        <f t="shared" si="126"/>
        <v>5729400</v>
      </c>
      <c r="M568" s="72">
        <f t="shared" si="126"/>
        <v>0</v>
      </c>
      <c r="N568" s="73">
        <f t="shared" si="126"/>
        <v>8274845.08</v>
      </c>
      <c r="O568" s="72">
        <f t="shared" si="127"/>
        <v>8274845.08</v>
      </c>
      <c r="P568" s="73">
        <f t="shared" si="127"/>
        <v>8274845.08</v>
      </c>
    </row>
    <row r="569" spans="1:16" ht="25.5">
      <c r="A569" s="397" t="s">
        <v>40</v>
      </c>
      <c r="B569" s="432">
        <v>334</v>
      </c>
      <c r="C569" s="198" t="s">
        <v>100</v>
      </c>
      <c r="D569" s="382" t="s">
        <v>96</v>
      </c>
      <c r="E569" s="126" t="s">
        <v>94</v>
      </c>
      <c r="F569" s="126" t="s">
        <v>170</v>
      </c>
      <c r="G569" s="126" t="s">
        <v>168</v>
      </c>
      <c r="H569" s="126" t="s">
        <v>168</v>
      </c>
      <c r="I569" s="126" t="s">
        <v>36</v>
      </c>
      <c r="J569" s="128" t="s">
        <v>168</v>
      </c>
      <c r="K569" s="390"/>
      <c r="L569" s="154">
        <f>L570+L572</f>
        <v>5729400</v>
      </c>
      <c r="M569" s="72">
        <f>M570+M572</f>
        <v>0</v>
      </c>
      <c r="N569" s="73">
        <f>N570+N572</f>
        <v>8274845.08</v>
      </c>
      <c r="O569" s="72">
        <f>O570+O572</f>
        <v>8274845.08</v>
      </c>
      <c r="P569" s="73">
        <f>P570+P572</f>
        <v>8274845.08</v>
      </c>
    </row>
    <row r="570" spans="1:16" ht="51">
      <c r="A570" s="389" t="s">
        <v>92</v>
      </c>
      <c r="B570" s="432">
        <v>334</v>
      </c>
      <c r="C570" s="198" t="s">
        <v>100</v>
      </c>
      <c r="D570" s="382" t="s">
        <v>96</v>
      </c>
      <c r="E570" s="126" t="s">
        <v>94</v>
      </c>
      <c r="F570" s="126" t="s">
        <v>170</v>
      </c>
      <c r="G570" s="126" t="s">
        <v>168</v>
      </c>
      <c r="H570" s="126" t="s">
        <v>168</v>
      </c>
      <c r="I570" s="126" t="s">
        <v>36</v>
      </c>
      <c r="J570" s="128" t="s">
        <v>168</v>
      </c>
      <c r="K570" s="390">
        <v>100</v>
      </c>
      <c r="L570" s="154">
        <f>L571</f>
        <v>5556300</v>
      </c>
      <c r="M570" s="72">
        <f>M571</f>
        <v>0</v>
      </c>
      <c r="N570" s="73">
        <f>N571</f>
        <v>8121745.08</v>
      </c>
      <c r="O570" s="72">
        <f>O571</f>
        <v>8121745.08</v>
      </c>
      <c r="P570" s="73">
        <f>P571</f>
        <v>8121745.08</v>
      </c>
    </row>
    <row r="571" spans="1:16" ht="25.5">
      <c r="A571" s="389" t="s">
        <v>82</v>
      </c>
      <c r="B571" s="432">
        <v>334</v>
      </c>
      <c r="C571" s="198" t="s">
        <v>100</v>
      </c>
      <c r="D571" s="382" t="s">
        <v>96</v>
      </c>
      <c r="E571" s="126" t="s">
        <v>94</v>
      </c>
      <c r="F571" s="126" t="s">
        <v>170</v>
      </c>
      <c r="G571" s="126" t="s">
        <v>168</v>
      </c>
      <c r="H571" s="126" t="s">
        <v>168</v>
      </c>
      <c r="I571" s="126" t="s">
        <v>36</v>
      </c>
      <c r="J571" s="128" t="s">
        <v>168</v>
      </c>
      <c r="K571" s="390">
        <v>120</v>
      </c>
      <c r="L571" s="154">
        <v>5556300</v>
      </c>
      <c r="M571" s="72">
        <v>0</v>
      </c>
      <c r="N571" s="73">
        <v>8121745.08</v>
      </c>
      <c r="O571" s="72">
        <v>8121745.08</v>
      </c>
      <c r="P571" s="73">
        <v>8121745.08</v>
      </c>
    </row>
    <row r="572" spans="1:16" ht="25.5">
      <c r="A572" s="389" t="s">
        <v>73</v>
      </c>
      <c r="B572" s="432">
        <v>334</v>
      </c>
      <c r="C572" s="198" t="s">
        <v>100</v>
      </c>
      <c r="D572" s="382" t="s">
        <v>96</v>
      </c>
      <c r="E572" s="126" t="s">
        <v>94</v>
      </c>
      <c r="F572" s="126" t="s">
        <v>170</v>
      </c>
      <c r="G572" s="126" t="s">
        <v>168</v>
      </c>
      <c r="H572" s="126" t="s">
        <v>168</v>
      </c>
      <c r="I572" s="126" t="s">
        <v>36</v>
      </c>
      <c r="J572" s="128" t="s">
        <v>168</v>
      </c>
      <c r="K572" s="390">
        <v>200</v>
      </c>
      <c r="L572" s="154">
        <f>L573</f>
        <v>173100</v>
      </c>
      <c r="M572" s="72">
        <f>M573</f>
        <v>0</v>
      </c>
      <c r="N572" s="73">
        <f>N573</f>
        <v>153100</v>
      </c>
      <c r="O572" s="72">
        <f>O573</f>
        <v>153100</v>
      </c>
      <c r="P572" s="73">
        <f>P573</f>
        <v>153100</v>
      </c>
    </row>
    <row r="573" spans="1:16" ht="25.5">
      <c r="A573" s="389" t="s">
        <v>75</v>
      </c>
      <c r="B573" s="432">
        <v>334</v>
      </c>
      <c r="C573" s="198" t="s">
        <v>100</v>
      </c>
      <c r="D573" s="382" t="s">
        <v>96</v>
      </c>
      <c r="E573" s="126" t="s">
        <v>94</v>
      </c>
      <c r="F573" s="126" t="s">
        <v>170</v>
      </c>
      <c r="G573" s="126" t="s">
        <v>168</v>
      </c>
      <c r="H573" s="126" t="s">
        <v>168</v>
      </c>
      <c r="I573" s="126" t="s">
        <v>36</v>
      </c>
      <c r="J573" s="128" t="s">
        <v>168</v>
      </c>
      <c r="K573" s="390">
        <v>240</v>
      </c>
      <c r="L573" s="154">
        <v>173100</v>
      </c>
      <c r="M573" s="72">
        <v>0</v>
      </c>
      <c r="N573" s="73">
        <v>153100</v>
      </c>
      <c r="O573" s="72">
        <v>153100</v>
      </c>
      <c r="P573" s="73">
        <v>153100</v>
      </c>
    </row>
    <row r="574" spans="1:16" ht="0.75" customHeight="1" hidden="1">
      <c r="A574" s="389"/>
      <c r="B574" s="432"/>
      <c r="C574" s="198"/>
      <c r="D574" s="382"/>
      <c r="E574" s="126"/>
      <c r="F574" s="126"/>
      <c r="G574" s="126"/>
      <c r="H574" s="126"/>
      <c r="I574" s="126"/>
      <c r="J574" s="128"/>
      <c r="K574" s="390"/>
      <c r="L574" s="154"/>
      <c r="M574" s="72"/>
      <c r="N574" s="73"/>
      <c r="O574" s="72"/>
      <c r="P574" s="73"/>
    </row>
    <row r="575" spans="1:16" ht="6" customHeight="1" hidden="1">
      <c r="A575" s="426"/>
      <c r="B575" s="489"/>
      <c r="C575" s="202"/>
      <c r="D575" s="382"/>
      <c r="E575" s="204"/>
      <c r="F575" s="204"/>
      <c r="G575" s="204"/>
      <c r="H575" s="204"/>
      <c r="I575" s="204"/>
      <c r="J575" s="229"/>
      <c r="K575" s="464"/>
      <c r="L575" s="295"/>
      <c r="M575" s="407"/>
      <c r="N575" s="408"/>
      <c r="O575" s="407"/>
      <c r="P575" s="408"/>
    </row>
    <row r="576" spans="1:16" ht="4.5" customHeight="1">
      <c r="A576" s="426"/>
      <c r="B576" s="462"/>
      <c r="C576" s="202"/>
      <c r="D576" s="463"/>
      <c r="E576" s="262"/>
      <c r="F576" s="262"/>
      <c r="G576" s="204"/>
      <c r="H576" s="204"/>
      <c r="I576" s="275"/>
      <c r="J576" s="229"/>
      <c r="K576" s="406"/>
      <c r="L576" s="295"/>
      <c r="M576" s="407"/>
      <c r="N576" s="408"/>
      <c r="O576" s="407"/>
      <c r="P576" s="408"/>
    </row>
    <row r="577" spans="1:16" s="419" customFormat="1" ht="25.5">
      <c r="A577" s="465" t="s">
        <v>48</v>
      </c>
      <c r="B577" s="429">
        <v>335</v>
      </c>
      <c r="C577" s="467"/>
      <c r="D577" s="490"/>
      <c r="E577" s="473"/>
      <c r="F577" s="473"/>
      <c r="G577" s="314"/>
      <c r="H577" s="314"/>
      <c r="I577" s="473"/>
      <c r="J577" s="474"/>
      <c r="K577" s="390"/>
      <c r="L577" s="491">
        <f aca="true" t="shared" si="128" ref="L577:N579">L578</f>
        <v>2141100</v>
      </c>
      <c r="M577" s="492">
        <f>M578</f>
        <v>331938</v>
      </c>
      <c r="N577" s="493">
        <f t="shared" si="128"/>
        <v>3202795.42</v>
      </c>
      <c r="O577" s="492">
        <f aca="true" t="shared" si="129" ref="O577:P579">O578</f>
        <v>3202795.42</v>
      </c>
      <c r="P577" s="493">
        <f t="shared" si="129"/>
        <v>3202795.42</v>
      </c>
    </row>
    <row r="578" spans="1:16" s="419" customFormat="1" ht="12.75">
      <c r="A578" s="380" t="s">
        <v>109</v>
      </c>
      <c r="B578" s="432">
        <v>335</v>
      </c>
      <c r="C578" s="198" t="s">
        <v>94</v>
      </c>
      <c r="D578" s="396"/>
      <c r="E578" s="468"/>
      <c r="F578" s="468"/>
      <c r="G578" s="126"/>
      <c r="H578" s="126"/>
      <c r="I578" s="468"/>
      <c r="J578" s="469"/>
      <c r="K578" s="470"/>
      <c r="L578" s="484">
        <f t="shared" si="128"/>
        <v>2141100</v>
      </c>
      <c r="M578" s="485">
        <f t="shared" si="128"/>
        <v>331938</v>
      </c>
      <c r="N578" s="486">
        <f t="shared" si="128"/>
        <v>3202795.42</v>
      </c>
      <c r="O578" s="485">
        <f t="shared" si="129"/>
        <v>3202795.42</v>
      </c>
      <c r="P578" s="486">
        <f t="shared" si="129"/>
        <v>3202795.42</v>
      </c>
    </row>
    <row r="579" spans="1:16" s="419" customFormat="1" ht="30.75" customHeight="1">
      <c r="A579" s="380" t="s">
        <v>130</v>
      </c>
      <c r="B579" s="424" t="s">
        <v>49</v>
      </c>
      <c r="C579" s="158" t="s">
        <v>94</v>
      </c>
      <c r="D579" s="396" t="s">
        <v>95</v>
      </c>
      <c r="E579" s="468"/>
      <c r="F579" s="468"/>
      <c r="G579" s="126"/>
      <c r="H579" s="126"/>
      <c r="I579" s="468"/>
      <c r="J579" s="469"/>
      <c r="K579" s="470"/>
      <c r="L579" s="484">
        <f t="shared" si="128"/>
        <v>2141100</v>
      </c>
      <c r="M579" s="485">
        <f t="shared" si="128"/>
        <v>331938</v>
      </c>
      <c r="N579" s="486">
        <f t="shared" si="128"/>
        <v>3202795.42</v>
      </c>
      <c r="O579" s="485">
        <f t="shared" si="129"/>
        <v>3202795.42</v>
      </c>
      <c r="P579" s="486">
        <f t="shared" si="129"/>
        <v>3202795.42</v>
      </c>
    </row>
    <row r="580" spans="1:16" ht="34.5" customHeight="1">
      <c r="A580" s="389" t="s">
        <v>42</v>
      </c>
      <c r="B580" s="424" t="s">
        <v>49</v>
      </c>
      <c r="C580" s="158" t="s">
        <v>94</v>
      </c>
      <c r="D580" s="396" t="s">
        <v>95</v>
      </c>
      <c r="E580" s="142" t="s">
        <v>9</v>
      </c>
      <c r="F580" s="142" t="s">
        <v>168</v>
      </c>
      <c r="G580" s="126" t="s">
        <v>168</v>
      </c>
      <c r="H580" s="126" t="s">
        <v>168</v>
      </c>
      <c r="I580" s="142" t="s">
        <v>169</v>
      </c>
      <c r="J580" s="128" t="s">
        <v>168</v>
      </c>
      <c r="K580" s="470"/>
      <c r="L580" s="484">
        <f>L591</f>
        <v>2141100</v>
      </c>
      <c r="M580" s="485">
        <f>M581+M585+M591</f>
        <v>331938</v>
      </c>
      <c r="N580" s="486">
        <f>N581+N585</f>
        <v>3202795.42</v>
      </c>
      <c r="O580" s="485">
        <f>O581+O585</f>
        <v>3202795.42</v>
      </c>
      <c r="P580" s="486">
        <f>P581+P585</f>
        <v>3202795.42</v>
      </c>
    </row>
    <row r="581" spans="1:16" ht="33" customHeight="1">
      <c r="A581" s="389" t="s">
        <v>334</v>
      </c>
      <c r="B581" s="424" t="s">
        <v>49</v>
      </c>
      <c r="C581" s="158" t="s">
        <v>94</v>
      </c>
      <c r="D581" s="396" t="s">
        <v>95</v>
      </c>
      <c r="E581" s="126" t="s">
        <v>9</v>
      </c>
      <c r="F581" s="126" t="s">
        <v>170</v>
      </c>
      <c r="G581" s="126" t="s">
        <v>168</v>
      </c>
      <c r="H581" s="126" t="s">
        <v>168</v>
      </c>
      <c r="I581" s="126" t="s">
        <v>169</v>
      </c>
      <c r="J581" s="128" t="s">
        <v>168</v>
      </c>
      <c r="K581" s="393"/>
      <c r="L581" s="484">
        <f>L583</f>
        <v>0</v>
      </c>
      <c r="M581" s="485">
        <f>M583</f>
        <v>1540338</v>
      </c>
      <c r="N581" s="486">
        <f>N583</f>
        <v>1806155.17</v>
      </c>
      <c r="O581" s="485">
        <f>O583</f>
        <v>1806155.17</v>
      </c>
      <c r="P581" s="486">
        <f>P583</f>
        <v>1806155.17</v>
      </c>
    </row>
    <row r="582" spans="1:16" ht="33" customHeight="1">
      <c r="A582" s="397" t="s">
        <v>40</v>
      </c>
      <c r="B582" s="424" t="s">
        <v>49</v>
      </c>
      <c r="C582" s="158" t="s">
        <v>94</v>
      </c>
      <c r="D582" s="396" t="s">
        <v>95</v>
      </c>
      <c r="E582" s="126" t="s">
        <v>9</v>
      </c>
      <c r="F582" s="126" t="s">
        <v>170</v>
      </c>
      <c r="G582" s="126" t="s">
        <v>168</v>
      </c>
      <c r="H582" s="126" t="s">
        <v>168</v>
      </c>
      <c r="I582" s="126" t="s">
        <v>36</v>
      </c>
      <c r="J582" s="128" t="s">
        <v>168</v>
      </c>
      <c r="K582" s="393"/>
      <c r="L582" s="484"/>
      <c r="M582" s="485">
        <f aca="true" t="shared" si="130" ref="M582:P583">M583</f>
        <v>1540338</v>
      </c>
      <c r="N582" s="486">
        <f t="shared" si="130"/>
        <v>1806155.17</v>
      </c>
      <c r="O582" s="485">
        <f t="shared" si="130"/>
        <v>1806155.17</v>
      </c>
      <c r="P582" s="486">
        <f t="shared" si="130"/>
        <v>1806155.17</v>
      </c>
    </row>
    <row r="583" spans="1:16" ht="51">
      <c r="A583" s="389" t="s">
        <v>92</v>
      </c>
      <c r="B583" s="424" t="s">
        <v>49</v>
      </c>
      <c r="C583" s="158" t="s">
        <v>94</v>
      </c>
      <c r="D583" s="396" t="s">
        <v>95</v>
      </c>
      <c r="E583" s="126" t="s">
        <v>9</v>
      </c>
      <c r="F583" s="126" t="s">
        <v>170</v>
      </c>
      <c r="G583" s="126" t="s">
        <v>168</v>
      </c>
      <c r="H583" s="126" t="s">
        <v>168</v>
      </c>
      <c r="I583" s="126" t="s">
        <v>36</v>
      </c>
      <c r="J583" s="128" t="s">
        <v>168</v>
      </c>
      <c r="K583" s="390">
        <v>100</v>
      </c>
      <c r="L583" s="484">
        <f>L584</f>
        <v>0</v>
      </c>
      <c r="M583" s="485">
        <f t="shared" si="130"/>
        <v>1540338</v>
      </c>
      <c r="N583" s="486">
        <f t="shared" si="130"/>
        <v>1806155.17</v>
      </c>
      <c r="O583" s="485">
        <f t="shared" si="130"/>
        <v>1806155.17</v>
      </c>
      <c r="P583" s="486">
        <f t="shared" si="130"/>
        <v>1806155.17</v>
      </c>
    </row>
    <row r="584" spans="1:16" ht="25.5">
      <c r="A584" s="389" t="s">
        <v>82</v>
      </c>
      <c r="B584" s="424" t="s">
        <v>49</v>
      </c>
      <c r="C584" s="158" t="s">
        <v>94</v>
      </c>
      <c r="D584" s="396" t="s">
        <v>95</v>
      </c>
      <c r="E584" s="126" t="s">
        <v>9</v>
      </c>
      <c r="F584" s="126" t="s">
        <v>170</v>
      </c>
      <c r="G584" s="126" t="s">
        <v>168</v>
      </c>
      <c r="H584" s="126" t="s">
        <v>168</v>
      </c>
      <c r="I584" s="126" t="s">
        <v>36</v>
      </c>
      <c r="J584" s="128" t="s">
        <v>168</v>
      </c>
      <c r="K584" s="390">
        <v>120</v>
      </c>
      <c r="L584" s="484">
        <v>0</v>
      </c>
      <c r="M584" s="485">
        <f>1208400+331938</f>
        <v>1540338</v>
      </c>
      <c r="N584" s="486">
        <v>1806155.17</v>
      </c>
      <c r="O584" s="485">
        <v>1806155.17</v>
      </c>
      <c r="P584" s="486">
        <v>1806155.17</v>
      </c>
    </row>
    <row r="585" spans="1:16" ht="25.5">
      <c r="A585" s="397" t="s">
        <v>48</v>
      </c>
      <c r="B585" s="424" t="s">
        <v>49</v>
      </c>
      <c r="C585" s="158" t="s">
        <v>94</v>
      </c>
      <c r="D585" s="396" t="s">
        <v>95</v>
      </c>
      <c r="E585" s="126" t="s">
        <v>9</v>
      </c>
      <c r="F585" s="126" t="s">
        <v>166</v>
      </c>
      <c r="G585" s="126" t="s">
        <v>168</v>
      </c>
      <c r="H585" s="126" t="s">
        <v>168</v>
      </c>
      <c r="I585" s="126" t="s">
        <v>169</v>
      </c>
      <c r="J585" s="128" t="s">
        <v>168</v>
      </c>
      <c r="K585" s="393"/>
      <c r="L585" s="484">
        <f>L587+L589</f>
        <v>0</v>
      </c>
      <c r="M585" s="485">
        <f>M586</f>
        <v>932700</v>
      </c>
      <c r="N585" s="486">
        <f>N586</f>
        <v>1396640.25</v>
      </c>
      <c r="O585" s="485">
        <f>O586</f>
        <v>1396640.25</v>
      </c>
      <c r="P585" s="486">
        <f>P586</f>
        <v>1396640.25</v>
      </c>
    </row>
    <row r="586" spans="1:16" ht="25.5">
      <c r="A586" s="397" t="s">
        <v>40</v>
      </c>
      <c r="B586" s="424" t="s">
        <v>49</v>
      </c>
      <c r="C586" s="158" t="s">
        <v>94</v>
      </c>
      <c r="D586" s="396" t="s">
        <v>95</v>
      </c>
      <c r="E586" s="126" t="s">
        <v>9</v>
      </c>
      <c r="F586" s="126" t="s">
        <v>166</v>
      </c>
      <c r="G586" s="126" t="s">
        <v>168</v>
      </c>
      <c r="H586" s="126" t="s">
        <v>168</v>
      </c>
      <c r="I586" s="126" t="s">
        <v>36</v>
      </c>
      <c r="J586" s="128" t="s">
        <v>168</v>
      </c>
      <c r="K586" s="393"/>
      <c r="L586" s="484"/>
      <c r="M586" s="485">
        <f>M587+M589</f>
        <v>932700</v>
      </c>
      <c r="N586" s="486">
        <f>N587+N589</f>
        <v>1396640.25</v>
      </c>
      <c r="O586" s="485">
        <f>O587+O589</f>
        <v>1396640.25</v>
      </c>
      <c r="P586" s="486">
        <f>P587+P589</f>
        <v>1396640.25</v>
      </c>
    </row>
    <row r="587" spans="1:16" ht="51">
      <c r="A587" s="389" t="s">
        <v>92</v>
      </c>
      <c r="B587" s="424" t="s">
        <v>49</v>
      </c>
      <c r="C587" s="158" t="s">
        <v>94</v>
      </c>
      <c r="D587" s="396" t="s">
        <v>95</v>
      </c>
      <c r="E587" s="126" t="s">
        <v>9</v>
      </c>
      <c r="F587" s="126" t="s">
        <v>166</v>
      </c>
      <c r="G587" s="126" t="s">
        <v>168</v>
      </c>
      <c r="H587" s="126" t="s">
        <v>168</v>
      </c>
      <c r="I587" s="126" t="s">
        <v>36</v>
      </c>
      <c r="J587" s="128" t="s">
        <v>168</v>
      </c>
      <c r="K587" s="390">
        <v>100</v>
      </c>
      <c r="L587" s="484">
        <f>L588</f>
        <v>0</v>
      </c>
      <c r="M587" s="485">
        <f>M588</f>
        <v>891600</v>
      </c>
      <c r="N587" s="486">
        <f>N588</f>
        <v>1355540.25</v>
      </c>
      <c r="O587" s="485">
        <f>O588</f>
        <v>1355540.25</v>
      </c>
      <c r="P587" s="486">
        <f>P588</f>
        <v>1355540.25</v>
      </c>
    </row>
    <row r="588" spans="1:16" ht="25.5">
      <c r="A588" s="389" t="s">
        <v>82</v>
      </c>
      <c r="B588" s="424" t="s">
        <v>49</v>
      </c>
      <c r="C588" s="158" t="s">
        <v>94</v>
      </c>
      <c r="D588" s="396" t="s">
        <v>95</v>
      </c>
      <c r="E588" s="126" t="s">
        <v>9</v>
      </c>
      <c r="F588" s="126" t="s">
        <v>166</v>
      </c>
      <c r="G588" s="126" t="s">
        <v>168</v>
      </c>
      <c r="H588" s="126" t="s">
        <v>168</v>
      </c>
      <c r="I588" s="126" t="s">
        <v>36</v>
      </c>
      <c r="J588" s="128" t="s">
        <v>168</v>
      </c>
      <c r="K588" s="390">
        <v>120</v>
      </c>
      <c r="L588" s="484">
        <v>0</v>
      </c>
      <c r="M588" s="485">
        <f>891600</f>
        <v>891600</v>
      </c>
      <c r="N588" s="486">
        <f>16700+1338840.25</f>
        <v>1355540.25</v>
      </c>
      <c r="O588" s="485">
        <f>16700+1338840.25</f>
        <v>1355540.25</v>
      </c>
      <c r="P588" s="486">
        <f>16700+1338840.25</f>
        <v>1355540.25</v>
      </c>
    </row>
    <row r="589" spans="1:16" ht="25.5">
      <c r="A589" s="389" t="s">
        <v>73</v>
      </c>
      <c r="B589" s="424" t="s">
        <v>49</v>
      </c>
      <c r="C589" s="158" t="s">
        <v>94</v>
      </c>
      <c r="D589" s="396" t="s">
        <v>95</v>
      </c>
      <c r="E589" s="126" t="s">
        <v>9</v>
      </c>
      <c r="F589" s="126" t="s">
        <v>166</v>
      </c>
      <c r="G589" s="126" t="s">
        <v>168</v>
      </c>
      <c r="H589" s="126" t="s">
        <v>168</v>
      </c>
      <c r="I589" s="126" t="s">
        <v>36</v>
      </c>
      <c r="J589" s="128" t="s">
        <v>168</v>
      </c>
      <c r="K589" s="390" t="s">
        <v>74</v>
      </c>
      <c r="L589" s="484">
        <f>L590</f>
        <v>0</v>
      </c>
      <c r="M589" s="485">
        <f>M590</f>
        <v>41100</v>
      </c>
      <c r="N589" s="486">
        <f>N590</f>
        <v>41100</v>
      </c>
      <c r="O589" s="485">
        <f>O590</f>
        <v>41100</v>
      </c>
      <c r="P589" s="486">
        <f>P590</f>
        <v>41100</v>
      </c>
    </row>
    <row r="590" spans="1:16" ht="25.5">
      <c r="A590" s="426" t="s">
        <v>75</v>
      </c>
      <c r="B590" s="427" t="s">
        <v>49</v>
      </c>
      <c r="C590" s="253" t="s">
        <v>94</v>
      </c>
      <c r="D590" s="404" t="s">
        <v>95</v>
      </c>
      <c r="E590" s="204" t="s">
        <v>9</v>
      </c>
      <c r="F590" s="204" t="s">
        <v>166</v>
      </c>
      <c r="G590" s="204" t="s">
        <v>168</v>
      </c>
      <c r="H590" s="204" t="s">
        <v>168</v>
      </c>
      <c r="I590" s="204" t="s">
        <v>36</v>
      </c>
      <c r="J590" s="229" t="s">
        <v>168</v>
      </c>
      <c r="K590" s="464">
        <v>240</v>
      </c>
      <c r="L590" s="494">
        <v>0</v>
      </c>
      <c r="M590" s="495">
        <v>41100</v>
      </c>
      <c r="N590" s="496">
        <v>41100</v>
      </c>
      <c r="O590" s="495">
        <v>41100</v>
      </c>
      <c r="P590" s="496">
        <v>41100</v>
      </c>
    </row>
    <row r="591" spans="1:16" s="419" customFormat="1" ht="25.5" customHeight="1" hidden="1">
      <c r="A591" s="397" t="s">
        <v>40</v>
      </c>
      <c r="B591" s="424" t="s">
        <v>49</v>
      </c>
      <c r="C591" s="158" t="s">
        <v>94</v>
      </c>
      <c r="D591" s="396" t="s">
        <v>95</v>
      </c>
      <c r="E591" s="126" t="s">
        <v>9</v>
      </c>
      <c r="F591" s="126" t="s">
        <v>168</v>
      </c>
      <c r="G591" s="126" t="s">
        <v>168</v>
      </c>
      <c r="H591" s="126" t="s">
        <v>168</v>
      </c>
      <c r="I591" s="126" t="s">
        <v>36</v>
      </c>
      <c r="J591" s="128" t="s">
        <v>168</v>
      </c>
      <c r="K591" s="393"/>
      <c r="L591" s="154">
        <f>L592+L594</f>
        <v>2141100</v>
      </c>
      <c r="M591" s="72">
        <f>M592+M594</f>
        <v>-2141100</v>
      </c>
      <c r="N591" s="73">
        <f>N592+N594</f>
        <v>0</v>
      </c>
      <c r="O591" s="72">
        <f>O592+O594</f>
        <v>0</v>
      </c>
      <c r="P591" s="73">
        <f>P592+P594</f>
        <v>0</v>
      </c>
    </row>
    <row r="592" spans="1:16" s="419" customFormat="1" ht="51" customHeight="1" hidden="1">
      <c r="A592" s="389" t="s">
        <v>92</v>
      </c>
      <c r="B592" s="424" t="s">
        <v>49</v>
      </c>
      <c r="C592" s="158" t="s">
        <v>94</v>
      </c>
      <c r="D592" s="396" t="s">
        <v>95</v>
      </c>
      <c r="E592" s="126" t="s">
        <v>9</v>
      </c>
      <c r="F592" s="126" t="s">
        <v>168</v>
      </c>
      <c r="G592" s="126" t="s">
        <v>168</v>
      </c>
      <c r="H592" s="126" t="s">
        <v>168</v>
      </c>
      <c r="I592" s="126" t="s">
        <v>36</v>
      </c>
      <c r="J592" s="128" t="s">
        <v>168</v>
      </c>
      <c r="K592" s="390">
        <v>100</v>
      </c>
      <c r="L592" s="154">
        <f>L593</f>
        <v>2100000</v>
      </c>
      <c r="M592" s="72">
        <f>M593</f>
        <v>-2100000</v>
      </c>
      <c r="N592" s="73">
        <f>N593</f>
        <v>0</v>
      </c>
      <c r="O592" s="72">
        <f>O593</f>
        <v>0</v>
      </c>
      <c r="P592" s="73">
        <f>P593</f>
        <v>0</v>
      </c>
    </row>
    <row r="593" spans="1:16" s="419" customFormat="1" ht="25.5" customHeight="1" hidden="1">
      <c r="A593" s="389" t="s">
        <v>82</v>
      </c>
      <c r="B593" s="424" t="s">
        <v>49</v>
      </c>
      <c r="C593" s="158" t="s">
        <v>94</v>
      </c>
      <c r="D593" s="396" t="s">
        <v>95</v>
      </c>
      <c r="E593" s="126" t="s">
        <v>9</v>
      </c>
      <c r="F593" s="126" t="s">
        <v>168</v>
      </c>
      <c r="G593" s="126" t="s">
        <v>168</v>
      </c>
      <c r="H593" s="126" t="s">
        <v>168</v>
      </c>
      <c r="I593" s="126" t="s">
        <v>36</v>
      </c>
      <c r="J593" s="128" t="s">
        <v>168</v>
      </c>
      <c r="K593" s="390">
        <v>120</v>
      </c>
      <c r="L593" s="154">
        <f>2100000</f>
        <v>2100000</v>
      </c>
      <c r="M593" s="72">
        <v>-2100000</v>
      </c>
      <c r="N593" s="73">
        <f>M593+L593</f>
        <v>0</v>
      </c>
      <c r="O593" s="72">
        <v>0</v>
      </c>
      <c r="P593" s="73">
        <v>0</v>
      </c>
    </row>
    <row r="594" spans="1:16" s="419" customFormat="1" ht="25.5" customHeight="1" hidden="1">
      <c r="A594" s="389" t="s">
        <v>73</v>
      </c>
      <c r="B594" s="424" t="s">
        <v>49</v>
      </c>
      <c r="C594" s="158" t="s">
        <v>94</v>
      </c>
      <c r="D594" s="396" t="s">
        <v>95</v>
      </c>
      <c r="E594" s="126" t="s">
        <v>9</v>
      </c>
      <c r="F594" s="126" t="s">
        <v>168</v>
      </c>
      <c r="G594" s="126" t="s">
        <v>168</v>
      </c>
      <c r="H594" s="126" t="s">
        <v>168</v>
      </c>
      <c r="I594" s="126" t="s">
        <v>36</v>
      </c>
      <c r="J594" s="128" t="s">
        <v>168</v>
      </c>
      <c r="K594" s="390" t="s">
        <v>74</v>
      </c>
      <c r="L594" s="154">
        <f>L595</f>
        <v>41100</v>
      </c>
      <c r="M594" s="72">
        <f>M595</f>
        <v>-41100</v>
      </c>
      <c r="N594" s="73">
        <f>N595</f>
        <v>0</v>
      </c>
      <c r="O594" s="72">
        <f>O595</f>
        <v>0</v>
      </c>
      <c r="P594" s="73">
        <f>P595</f>
        <v>0</v>
      </c>
    </row>
    <row r="595" spans="1:16" s="419" customFormat="1" ht="25.5" customHeight="1" hidden="1">
      <c r="A595" s="426" t="s">
        <v>75</v>
      </c>
      <c r="B595" s="427" t="s">
        <v>49</v>
      </c>
      <c r="C595" s="252" t="s">
        <v>94</v>
      </c>
      <c r="D595" s="404" t="s">
        <v>95</v>
      </c>
      <c r="E595" s="204" t="s">
        <v>9</v>
      </c>
      <c r="F595" s="204" t="s">
        <v>168</v>
      </c>
      <c r="G595" s="204" t="s">
        <v>168</v>
      </c>
      <c r="H595" s="204" t="s">
        <v>168</v>
      </c>
      <c r="I595" s="204" t="s">
        <v>36</v>
      </c>
      <c r="J595" s="229" t="s">
        <v>168</v>
      </c>
      <c r="K595" s="464">
        <v>240</v>
      </c>
      <c r="L595" s="295">
        <v>41100</v>
      </c>
      <c r="M595" s="407">
        <v>-41100</v>
      </c>
      <c r="N595" s="408">
        <v>0</v>
      </c>
      <c r="O595" s="407">
        <v>0</v>
      </c>
      <c r="P595" s="408">
        <v>0</v>
      </c>
    </row>
    <row r="596" spans="1:16" s="419" customFormat="1" ht="12.75">
      <c r="A596" s="497"/>
      <c r="B596" s="498"/>
      <c r="C596" s="499"/>
      <c r="D596" s="500"/>
      <c r="E596" s="456"/>
      <c r="F596" s="456"/>
      <c r="G596" s="456"/>
      <c r="H596" s="456"/>
      <c r="I596" s="456"/>
      <c r="J596" s="456"/>
      <c r="K596" s="458"/>
      <c r="L596" s="451"/>
      <c r="M596" s="452"/>
      <c r="N596" s="460"/>
      <c r="O596" s="452"/>
      <c r="P596" s="460"/>
    </row>
    <row r="597" spans="1:16" s="419" customFormat="1" ht="13.5" thickBot="1">
      <c r="A597" s="501" t="s">
        <v>321</v>
      </c>
      <c r="B597" s="498"/>
      <c r="C597" s="499"/>
      <c r="D597" s="499"/>
      <c r="E597" s="456"/>
      <c r="F597" s="456"/>
      <c r="G597" s="456"/>
      <c r="H597" s="456"/>
      <c r="I597" s="456"/>
      <c r="J597" s="456"/>
      <c r="K597" s="458"/>
      <c r="L597" s="451"/>
      <c r="M597" s="452"/>
      <c r="N597" s="460"/>
      <c r="O597" s="502">
        <v>36535840.83</v>
      </c>
      <c r="P597" s="503">
        <v>52353627.07</v>
      </c>
    </row>
    <row r="598" spans="1:16" ht="18.75" thickBot="1">
      <c r="A598" s="504" t="s">
        <v>105</v>
      </c>
      <c r="B598" s="505" t="s">
        <v>108</v>
      </c>
      <c r="C598" s="506" t="s">
        <v>108</v>
      </c>
      <c r="D598" s="507" t="s">
        <v>108</v>
      </c>
      <c r="E598" s="568" t="s">
        <v>108</v>
      </c>
      <c r="F598" s="568"/>
      <c r="G598" s="568"/>
      <c r="H598" s="568"/>
      <c r="I598" s="568"/>
      <c r="J598" s="568"/>
      <c r="K598" s="508"/>
      <c r="L598" s="509" t="e">
        <f>L172+L383+L402+L480+L116+L13+L577</f>
        <v>#REF!</v>
      </c>
      <c r="M598" s="510" t="e">
        <f>M172+M383+M402+M480+M116+M13+M577</f>
        <v>#REF!</v>
      </c>
      <c r="N598" s="511">
        <f>N172+N383+N402+N480+N116+N13+N577</f>
        <v>1658699885.8000002</v>
      </c>
      <c r="O598" s="510">
        <f>O172+O383+O402+O480+O116+O13+O577+O597</f>
        <v>1644809760.1100001</v>
      </c>
      <c r="P598" s="511">
        <f>P172+P383+P402+P480+P116+P13+P577+P597</f>
        <v>1694383479.7500002</v>
      </c>
    </row>
    <row r="599" spans="1:11" s="515" customFormat="1" ht="15.75">
      <c r="A599" s="512"/>
      <c r="B599" s="513"/>
      <c r="C599" s="514"/>
      <c r="E599" s="514"/>
      <c r="F599" s="514"/>
      <c r="G599" s="514"/>
      <c r="H599" s="514"/>
      <c r="I599" s="514"/>
      <c r="J599" s="577"/>
      <c r="K599" s="577"/>
    </row>
    <row r="600" spans="1:15" s="515" customFormat="1" ht="15.75">
      <c r="A600" s="512"/>
      <c r="B600" s="516"/>
      <c r="C600" s="514"/>
      <c r="D600" s="517"/>
      <c r="E600" s="514"/>
      <c r="F600" s="514"/>
      <c r="G600" s="514"/>
      <c r="H600" s="514"/>
      <c r="I600" s="514"/>
      <c r="J600" s="576"/>
      <c r="K600" s="576"/>
      <c r="O600" s="349"/>
    </row>
    <row r="601" spans="1:11" s="515" customFormat="1" ht="18" customHeight="1">
      <c r="A601" s="512"/>
      <c r="B601" s="516"/>
      <c r="C601" s="514"/>
      <c r="D601" s="514"/>
      <c r="E601" s="514"/>
      <c r="F601" s="514"/>
      <c r="G601" s="514"/>
      <c r="H601" s="514"/>
      <c r="I601" s="514"/>
      <c r="J601" s="572"/>
      <c r="K601" s="572"/>
    </row>
    <row r="602" spans="1:11" s="515" customFormat="1" ht="18" customHeight="1">
      <c r="A602" s="512"/>
      <c r="B602" s="516"/>
      <c r="C602" s="514"/>
      <c r="D602" s="514"/>
      <c r="E602" s="514"/>
      <c r="F602" s="514"/>
      <c r="G602" s="514"/>
      <c r="H602" s="514"/>
      <c r="I602" s="514"/>
      <c r="J602" s="571"/>
      <c r="K602" s="571"/>
    </row>
    <row r="603" spans="1:16" s="515" customFormat="1" ht="15.75">
      <c r="A603" s="512"/>
      <c r="B603" s="518"/>
      <c r="C603" s="518"/>
      <c r="D603" s="514"/>
      <c r="E603" s="518"/>
      <c r="F603" s="518"/>
      <c r="G603" s="518"/>
      <c r="H603" s="518"/>
      <c r="I603" s="518"/>
      <c r="J603" s="518"/>
      <c r="K603" s="519"/>
      <c r="N603" s="520"/>
      <c r="O603" s="520"/>
      <c r="P603" s="521"/>
    </row>
    <row r="604" spans="1:11" s="515" customFormat="1" ht="15.75">
      <c r="A604" s="512"/>
      <c r="B604" s="518"/>
      <c r="C604" s="518"/>
      <c r="D604" s="514"/>
      <c r="E604" s="518"/>
      <c r="F604" s="518"/>
      <c r="G604" s="518"/>
      <c r="H604" s="518"/>
      <c r="I604" s="518"/>
      <c r="J604" s="518"/>
      <c r="K604" s="519"/>
    </row>
    <row r="605" spans="1:17" s="515" customFormat="1" ht="15.75">
      <c r="A605" s="512"/>
      <c r="B605" s="518"/>
      <c r="C605" s="518"/>
      <c r="D605" s="514"/>
      <c r="E605" s="518"/>
      <c r="F605" s="518"/>
      <c r="G605" s="518"/>
      <c r="H605" s="518"/>
      <c r="I605" s="518"/>
      <c r="J605" s="518"/>
      <c r="K605" s="328"/>
      <c r="N605" s="349"/>
      <c r="O605" s="349"/>
      <c r="P605" s="349"/>
      <c r="Q605" s="349"/>
    </row>
    <row r="606" spans="1:11" s="515" customFormat="1" ht="15.75">
      <c r="A606" s="512"/>
      <c r="B606" s="518"/>
      <c r="C606" s="518"/>
      <c r="D606" s="514"/>
      <c r="E606" s="518"/>
      <c r="F606" s="518"/>
      <c r="G606" s="518"/>
      <c r="H606" s="518"/>
      <c r="I606" s="518"/>
      <c r="J606" s="518"/>
      <c r="K606" s="328"/>
    </row>
    <row r="607" spans="1:11" s="515" customFormat="1" ht="15">
      <c r="A607" s="512"/>
      <c r="B607" s="518"/>
      <c r="C607" s="518"/>
      <c r="D607" s="518"/>
      <c r="E607" s="518"/>
      <c r="F607" s="518"/>
      <c r="G607" s="518"/>
      <c r="H607" s="518"/>
      <c r="I607" s="518"/>
      <c r="J607" s="518"/>
      <c r="K607" s="328"/>
    </row>
    <row r="608" spans="1:11" s="515" customFormat="1" ht="15">
      <c r="A608" s="512"/>
      <c r="B608" s="518"/>
      <c r="C608" s="518"/>
      <c r="D608" s="518"/>
      <c r="E608" s="518"/>
      <c r="F608" s="518"/>
      <c r="G608" s="518"/>
      <c r="H608" s="518"/>
      <c r="I608" s="518"/>
      <c r="J608" s="518"/>
      <c r="K608" s="328"/>
    </row>
    <row r="609" spans="1:11" s="515" customFormat="1" ht="15">
      <c r="A609" s="512"/>
      <c r="B609" s="518"/>
      <c r="C609" s="518"/>
      <c r="D609" s="518"/>
      <c r="E609" s="518"/>
      <c r="F609" s="518"/>
      <c r="G609" s="518"/>
      <c r="H609" s="518"/>
      <c r="I609" s="518"/>
      <c r="J609" s="518"/>
      <c r="K609" s="328"/>
    </row>
    <row r="610" spans="1:11" s="515" customFormat="1" ht="15">
      <c r="A610" s="512"/>
      <c r="B610" s="518"/>
      <c r="C610" s="518"/>
      <c r="D610" s="518"/>
      <c r="E610" s="518"/>
      <c r="F610" s="518"/>
      <c r="G610" s="518"/>
      <c r="H610" s="518"/>
      <c r="I610" s="518"/>
      <c r="J610" s="518"/>
      <c r="K610" s="328"/>
    </row>
    <row r="611" spans="1:11" s="515" customFormat="1" ht="15">
      <c r="A611" s="512"/>
      <c r="B611" s="518"/>
      <c r="C611" s="518"/>
      <c r="D611" s="518"/>
      <c r="E611" s="518"/>
      <c r="F611" s="518"/>
      <c r="G611" s="518"/>
      <c r="H611" s="518"/>
      <c r="I611" s="518"/>
      <c r="J611" s="518"/>
      <c r="K611" s="328"/>
    </row>
    <row r="612" spans="1:11" s="515" customFormat="1" ht="15">
      <c r="A612" s="512"/>
      <c r="B612" s="518"/>
      <c r="C612" s="518"/>
      <c r="D612" s="518"/>
      <c r="E612" s="518"/>
      <c r="F612" s="518"/>
      <c r="G612" s="518"/>
      <c r="H612" s="518"/>
      <c r="I612" s="518"/>
      <c r="J612" s="518"/>
      <c r="K612" s="328"/>
    </row>
    <row r="613" spans="1:11" s="515" customFormat="1" ht="15">
      <c r="A613" s="512"/>
      <c r="B613" s="518"/>
      <c r="C613" s="518"/>
      <c r="D613" s="518"/>
      <c r="E613" s="518"/>
      <c r="F613" s="518"/>
      <c r="G613" s="518"/>
      <c r="H613" s="518"/>
      <c r="I613" s="518"/>
      <c r="J613" s="518"/>
      <c r="K613" s="328"/>
    </row>
    <row r="614" spans="1:11" s="515" customFormat="1" ht="15">
      <c r="A614" s="512"/>
      <c r="B614" s="518"/>
      <c r="C614" s="518"/>
      <c r="D614" s="518"/>
      <c r="E614" s="518"/>
      <c r="F614" s="518"/>
      <c r="G614" s="518"/>
      <c r="H614" s="518"/>
      <c r="I614" s="518"/>
      <c r="J614" s="518"/>
      <c r="K614" s="328"/>
    </row>
    <row r="615" spans="1:11" s="515" customFormat="1" ht="12.75">
      <c r="A615" s="522"/>
      <c r="B615" s="518"/>
      <c r="C615" s="518"/>
      <c r="D615" s="518"/>
      <c r="E615" s="518"/>
      <c r="F615" s="518"/>
      <c r="G615" s="518"/>
      <c r="H615" s="518"/>
      <c r="I615" s="518"/>
      <c r="J615" s="518"/>
      <c r="K615" s="328"/>
    </row>
    <row r="616" spans="1:11" s="515" customFormat="1" ht="12.75">
      <c r="A616" s="522"/>
      <c r="B616" s="518"/>
      <c r="C616" s="518"/>
      <c r="D616" s="518"/>
      <c r="E616" s="518"/>
      <c r="F616" s="518"/>
      <c r="G616" s="518"/>
      <c r="H616" s="518"/>
      <c r="I616" s="518"/>
      <c r="J616" s="518"/>
      <c r="K616" s="328"/>
    </row>
    <row r="617" spans="1:11" s="515" customFormat="1" ht="12.75">
      <c r="A617" s="522"/>
      <c r="B617" s="518"/>
      <c r="C617" s="518"/>
      <c r="D617" s="518"/>
      <c r="E617" s="518"/>
      <c r="F617" s="518"/>
      <c r="G617" s="518"/>
      <c r="H617" s="518"/>
      <c r="I617" s="518"/>
      <c r="J617" s="518"/>
      <c r="K617" s="328"/>
    </row>
    <row r="618" spans="1:11" s="515" customFormat="1" ht="12.75">
      <c r="A618" s="523"/>
      <c r="B618" s="353"/>
      <c r="C618" s="353"/>
      <c r="D618" s="518"/>
      <c r="E618" s="353"/>
      <c r="F618" s="353"/>
      <c r="G618" s="353"/>
      <c r="H618" s="353"/>
      <c r="I618" s="353"/>
      <c r="J618" s="353"/>
      <c r="K618" s="524"/>
    </row>
    <row r="619" spans="1:11" s="515" customFormat="1" ht="12.75">
      <c r="A619" s="523"/>
      <c r="B619" s="353"/>
      <c r="C619" s="353"/>
      <c r="D619" s="518"/>
      <c r="E619" s="353"/>
      <c r="F619" s="353"/>
      <c r="G619" s="353"/>
      <c r="H619" s="353"/>
      <c r="I619" s="353"/>
      <c r="J619" s="353"/>
      <c r="K619" s="524"/>
    </row>
    <row r="620" spans="1:11" s="515" customFormat="1" ht="12.75">
      <c r="A620" s="523"/>
      <c r="B620" s="353"/>
      <c r="C620" s="353"/>
      <c r="D620" s="518"/>
      <c r="E620" s="353"/>
      <c r="F620" s="353"/>
      <c r="G620" s="353"/>
      <c r="H620" s="353"/>
      <c r="I620" s="353"/>
      <c r="J620" s="353"/>
      <c r="K620" s="524"/>
    </row>
    <row r="621" spans="1:11" s="515" customFormat="1" ht="12.75">
      <c r="A621" s="523"/>
      <c r="B621" s="353"/>
      <c r="C621" s="353"/>
      <c r="D621" s="518"/>
      <c r="E621" s="353"/>
      <c r="F621" s="353"/>
      <c r="G621" s="353"/>
      <c r="H621" s="353"/>
      <c r="I621" s="353"/>
      <c r="J621" s="353"/>
      <c r="K621" s="524"/>
    </row>
    <row r="622" spans="1:11" s="515" customFormat="1" ht="12.75">
      <c r="A622" s="523"/>
      <c r="B622" s="353"/>
      <c r="C622" s="353"/>
      <c r="D622" s="353"/>
      <c r="E622" s="353"/>
      <c r="F622" s="353"/>
      <c r="G622" s="353"/>
      <c r="H622" s="353"/>
      <c r="I622" s="353"/>
      <c r="J622" s="353"/>
      <c r="K622" s="524"/>
    </row>
    <row r="623" spans="1:11" s="515" customFormat="1" ht="12.75">
      <c r="A623" s="523"/>
      <c r="B623" s="353"/>
      <c r="C623" s="353"/>
      <c r="D623" s="353"/>
      <c r="E623" s="353"/>
      <c r="F623" s="353"/>
      <c r="G623" s="353"/>
      <c r="H623" s="353"/>
      <c r="I623" s="353"/>
      <c r="J623" s="353"/>
      <c r="K623" s="524"/>
    </row>
    <row r="624" spans="1:11" s="515" customFormat="1" ht="12.75">
      <c r="A624" s="523"/>
      <c r="B624" s="518"/>
      <c r="C624" s="518"/>
      <c r="D624" s="353"/>
      <c r="E624" s="518"/>
      <c r="F624" s="518"/>
      <c r="G624" s="518"/>
      <c r="H624" s="518"/>
      <c r="I624" s="518"/>
      <c r="J624" s="518"/>
      <c r="K624" s="328"/>
    </row>
    <row r="625" spans="1:11" s="515" customFormat="1" ht="12.75">
      <c r="A625" s="523"/>
      <c r="B625" s="518"/>
      <c r="C625" s="518"/>
      <c r="D625" s="353"/>
      <c r="E625" s="518"/>
      <c r="F625" s="518"/>
      <c r="G625" s="518"/>
      <c r="H625" s="518"/>
      <c r="I625" s="518"/>
      <c r="J625" s="518"/>
      <c r="K625" s="328"/>
    </row>
    <row r="626" spans="1:11" s="515" customFormat="1" ht="12.75">
      <c r="A626" s="523"/>
      <c r="B626" s="518"/>
      <c r="C626" s="518"/>
      <c r="D626" s="353"/>
      <c r="E626" s="518"/>
      <c r="F626" s="518"/>
      <c r="G626" s="518"/>
      <c r="H626" s="518"/>
      <c r="I626" s="518"/>
      <c r="J626" s="518"/>
      <c r="K626" s="328"/>
    </row>
    <row r="627" spans="1:11" s="515" customFormat="1" ht="12.75">
      <c r="A627" s="523"/>
      <c r="B627" s="518"/>
      <c r="C627" s="518"/>
      <c r="D627" s="353"/>
      <c r="E627" s="518"/>
      <c r="F627" s="518"/>
      <c r="G627" s="518"/>
      <c r="H627" s="518"/>
      <c r="I627" s="518"/>
      <c r="J627" s="518"/>
      <c r="K627" s="328"/>
    </row>
    <row r="628" spans="1:11" s="515" customFormat="1" ht="12.75">
      <c r="A628" s="523"/>
      <c r="B628" s="518"/>
      <c r="C628" s="518"/>
      <c r="D628" s="518"/>
      <c r="E628" s="518"/>
      <c r="F628" s="518"/>
      <c r="G628" s="518"/>
      <c r="H628" s="518"/>
      <c r="I628" s="518"/>
      <c r="J628" s="518"/>
      <c r="K628" s="328"/>
    </row>
    <row r="629" spans="1:11" s="515" customFormat="1" ht="12.75">
      <c r="A629" s="523"/>
      <c r="B629" s="518"/>
      <c r="C629" s="518"/>
      <c r="D629" s="518"/>
      <c r="E629" s="518"/>
      <c r="F629" s="518"/>
      <c r="G629" s="518"/>
      <c r="H629" s="518"/>
      <c r="I629" s="518"/>
      <c r="J629" s="518"/>
      <c r="K629" s="328"/>
    </row>
    <row r="630" spans="1:11" s="515" customFormat="1" ht="12.75">
      <c r="A630" s="523"/>
      <c r="B630" s="518"/>
      <c r="C630" s="518"/>
      <c r="D630" s="518"/>
      <c r="E630" s="518"/>
      <c r="F630" s="518"/>
      <c r="G630" s="518"/>
      <c r="H630" s="518"/>
      <c r="I630" s="518"/>
      <c r="J630" s="518"/>
      <c r="K630" s="328"/>
    </row>
    <row r="631" spans="1:11" s="515" customFormat="1" ht="12.75">
      <c r="A631" s="523"/>
      <c r="B631" s="518"/>
      <c r="C631" s="518"/>
      <c r="D631" s="518"/>
      <c r="E631" s="518"/>
      <c r="F631" s="518"/>
      <c r="G631" s="518"/>
      <c r="H631" s="518"/>
      <c r="I631" s="518"/>
      <c r="J631" s="518"/>
      <c r="K631" s="328"/>
    </row>
    <row r="632" spans="1:11" s="515" customFormat="1" ht="12.75">
      <c r="A632" s="523"/>
      <c r="B632" s="518"/>
      <c r="C632" s="518"/>
      <c r="D632" s="518"/>
      <c r="E632" s="518"/>
      <c r="F632" s="518"/>
      <c r="G632" s="518"/>
      <c r="H632" s="518"/>
      <c r="I632" s="518"/>
      <c r="J632" s="518"/>
      <c r="K632" s="328"/>
    </row>
    <row r="633" spans="1:11" s="515" customFormat="1" ht="12.75">
      <c r="A633" s="523"/>
      <c r="B633" s="518"/>
      <c r="C633" s="518"/>
      <c r="D633" s="518"/>
      <c r="E633" s="518"/>
      <c r="F633" s="518"/>
      <c r="G633" s="518"/>
      <c r="H633" s="518"/>
      <c r="I633" s="518"/>
      <c r="J633" s="518"/>
      <c r="K633" s="328"/>
    </row>
    <row r="634" spans="1:11" s="515" customFormat="1" ht="12.75">
      <c r="A634" s="523"/>
      <c r="B634" s="518"/>
      <c r="C634" s="518"/>
      <c r="D634" s="518"/>
      <c r="E634" s="518"/>
      <c r="F634" s="518"/>
      <c r="G634" s="518"/>
      <c r="H634" s="518"/>
      <c r="I634" s="518"/>
      <c r="J634" s="518"/>
      <c r="K634" s="328"/>
    </row>
    <row r="635" spans="1:11" s="515" customFormat="1" ht="12.75">
      <c r="A635" s="523"/>
      <c r="B635" s="518"/>
      <c r="C635" s="518"/>
      <c r="D635" s="518"/>
      <c r="E635" s="518"/>
      <c r="F635" s="518"/>
      <c r="G635" s="518"/>
      <c r="H635" s="518"/>
      <c r="I635" s="518"/>
      <c r="J635" s="518"/>
      <c r="K635" s="328"/>
    </row>
    <row r="636" spans="1:11" s="515" customFormat="1" ht="12.75">
      <c r="A636" s="523"/>
      <c r="B636" s="518"/>
      <c r="C636" s="518"/>
      <c r="D636" s="518"/>
      <c r="E636" s="518"/>
      <c r="F636" s="518"/>
      <c r="G636" s="518"/>
      <c r="H636" s="518"/>
      <c r="I636" s="518"/>
      <c r="J636" s="518"/>
      <c r="K636" s="328"/>
    </row>
    <row r="637" spans="1:11" s="515" customFormat="1" ht="12.75">
      <c r="A637" s="523"/>
      <c r="B637" s="518"/>
      <c r="C637" s="525"/>
      <c r="D637" s="518"/>
      <c r="E637" s="518"/>
      <c r="F637" s="518"/>
      <c r="G637" s="518"/>
      <c r="H637" s="518"/>
      <c r="I637" s="518"/>
      <c r="J637" s="518"/>
      <c r="K637" s="328"/>
    </row>
    <row r="638" spans="1:11" s="515" customFormat="1" ht="12.75">
      <c r="A638" s="523"/>
      <c r="B638" s="518"/>
      <c r="C638" s="518"/>
      <c r="D638" s="518"/>
      <c r="E638" s="518"/>
      <c r="F638" s="518"/>
      <c r="G638" s="518"/>
      <c r="H638" s="518"/>
      <c r="I638" s="518"/>
      <c r="J638" s="518"/>
      <c r="K638" s="328"/>
    </row>
    <row r="639" spans="1:11" s="515" customFormat="1" ht="12.75">
      <c r="A639" s="523"/>
      <c r="B639" s="518"/>
      <c r="C639" s="518"/>
      <c r="D639" s="518"/>
      <c r="E639" s="518"/>
      <c r="F639" s="518"/>
      <c r="G639" s="518"/>
      <c r="H639" s="518"/>
      <c r="I639" s="518"/>
      <c r="J639" s="518"/>
      <c r="K639" s="328"/>
    </row>
    <row r="640" spans="1:11" s="515" customFormat="1" ht="12.75">
      <c r="A640" s="523"/>
      <c r="B640" s="518"/>
      <c r="C640" s="518"/>
      <c r="D640" s="518"/>
      <c r="E640" s="518"/>
      <c r="F640" s="518"/>
      <c r="G640" s="518"/>
      <c r="H640" s="518"/>
      <c r="I640" s="518"/>
      <c r="J640" s="518"/>
      <c r="K640" s="328"/>
    </row>
    <row r="641" spans="1:11" s="515" customFormat="1" ht="12.75">
      <c r="A641" s="523"/>
      <c r="B641" s="518"/>
      <c r="C641" s="518"/>
      <c r="D641" s="518"/>
      <c r="E641" s="518"/>
      <c r="F641" s="518"/>
      <c r="G641" s="518"/>
      <c r="H641" s="518"/>
      <c r="I641" s="518"/>
      <c r="J641" s="518"/>
      <c r="K641" s="328"/>
    </row>
    <row r="642" spans="1:11" s="515" customFormat="1" ht="12.75">
      <c r="A642" s="523"/>
      <c r="B642" s="518"/>
      <c r="C642" s="518"/>
      <c r="D642" s="518"/>
      <c r="E642" s="518"/>
      <c r="F642" s="518"/>
      <c r="G642" s="518"/>
      <c r="H642" s="518"/>
      <c r="I642" s="518"/>
      <c r="J642" s="518"/>
      <c r="K642" s="328"/>
    </row>
    <row r="643" spans="1:11" s="515" customFormat="1" ht="12.75">
      <c r="A643" s="523"/>
      <c r="B643" s="518"/>
      <c r="C643" s="518"/>
      <c r="D643" s="518"/>
      <c r="E643" s="518"/>
      <c r="F643" s="518"/>
      <c r="G643" s="518"/>
      <c r="H643" s="518"/>
      <c r="I643" s="518"/>
      <c r="J643" s="518"/>
      <c r="K643" s="328"/>
    </row>
    <row r="644" spans="1:11" s="515" customFormat="1" ht="12.75">
      <c r="A644" s="523"/>
      <c r="B644" s="518"/>
      <c r="C644" s="518"/>
      <c r="D644" s="518"/>
      <c r="E644" s="518"/>
      <c r="F644" s="518"/>
      <c r="G644" s="518"/>
      <c r="H644" s="518"/>
      <c r="I644" s="518"/>
      <c r="J644" s="518"/>
      <c r="K644" s="328"/>
    </row>
    <row r="645" spans="1:11" s="515" customFormat="1" ht="12.75">
      <c r="A645" s="523"/>
      <c r="B645" s="518"/>
      <c r="C645" s="518"/>
      <c r="D645" s="518"/>
      <c r="E645" s="518"/>
      <c r="F645" s="518"/>
      <c r="G645" s="518"/>
      <c r="H645" s="518"/>
      <c r="I645" s="518"/>
      <c r="J645" s="518"/>
      <c r="K645" s="328"/>
    </row>
    <row r="646" spans="1:11" s="515" customFormat="1" ht="12.75">
      <c r="A646" s="523"/>
      <c r="B646" s="518"/>
      <c r="C646" s="518"/>
      <c r="D646" s="518"/>
      <c r="E646" s="518"/>
      <c r="F646" s="518"/>
      <c r="G646" s="518"/>
      <c r="H646" s="518"/>
      <c r="I646" s="518"/>
      <c r="J646" s="518"/>
      <c r="K646" s="328"/>
    </row>
    <row r="647" spans="1:11" s="515" customFormat="1" ht="12.75">
      <c r="A647" s="523"/>
      <c r="B647" s="518"/>
      <c r="C647" s="518"/>
      <c r="D647" s="518"/>
      <c r="E647" s="518"/>
      <c r="F647" s="518"/>
      <c r="G647" s="518"/>
      <c r="H647" s="518"/>
      <c r="I647" s="518"/>
      <c r="J647" s="518"/>
      <c r="K647" s="328"/>
    </row>
    <row r="648" spans="1:11" s="515" customFormat="1" ht="12.75">
      <c r="A648" s="523"/>
      <c r="B648" s="518"/>
      <c r="C648" s="518"/>
      <c r="D648" s="518"/>
      <c r="E648" s="518"/>
      <c r="F648" s="518"/>
      <c r="G648" s="518"/>
      <c r="H648" s="518"/>
      <c r="I648" s="518"/>
      <c r="J648" s="518"/>
      <c r="K648" s="328"/>
    </row>
    <row r="649" spans="1:11" s="515" customFormat="1" ht="12.75">
      <c r="A649" s="523"/>
      <c r="B649" s="518"/>
      <c r="C649" s="518"/>
      <c r="D649" s="518"/>
      <c r="E649" s="518"/>
      <c r="F649" s="518"/>
      <c r="G649" s="518"/>
      <c r="H649" s="518"/>
      <c r="I649" s="518"/>
      <c r="J649" s="518"/>
      <c r="K649" s="328"/>
    </row>
    <row r="650" spans="1:11" s="515" customFormat="1" ht="12.75">
      <c r="A650" s="523"/>
      <c r="B650" s="518"/>
      <c r="C650" s="518"/>
      <c r="D650" s="518"/>
      <c r="E650" s="518"/>
      <c r="F650" s="518"/>
      <c r="G650" s="518"/>
      <c r="H650" s="518"/>
      <c r="I650" s="518"/>
      <c r="J650" s="518"/>
      <c r="K650" s="328"/>
    </row>
    <row r="651" spans="1:11" s="515" customFormat="1" ht="12.75">
      <c r="A651" s="523"/>
      <c r="B651" s="518"/>
      <c r="C651" s="518"/>
      <c r="D651" s="518"/>
      <c r="E651" s="518"/>
      <c r="F651" s="518"/>
      <c r="G651" s="518"/>
      <c r="H651" s="518"/>
      <c r="I651" s="518"/>
      <c r="J651" s="518"/>
      <c r="K651" s="328"/>
    </row>
    <row r="652" spans="1:11" s="515" customFormat="1" ht="12.75">
      <c r="A652" s="523"/>
      <c r="B652" s="518"/>
      <c r="C652" s="518"/>
      <c r="D652" s="518"/>
      <c r="E652" s="518"/>
      <c r="F652" s="518"/>
      <c r="G652" s="518"/>
      <c r="H652" s="518"/>
      <c r="I652" s="518"/>
      <c r="J652" s="518"/>
      <c r="K652" s="328"/>
    </row>
    <row r="653" spans="1:11" s="515" customFormat="1" ht="12.75">
      <c r="A653" s="523"/>
      <c r="B653" s="518"/>
      <c r="C653" s="518"/>
      <c r="D653" s="518"/>
      <c r="E653" s="518"/>
      <c r="F653" s="518"/>
      <c r="G653" s="518"/>
      <c r="H653" s="518"/>
      <c r="I653" s="518"/>
      <c r="J653" s="518"/>
      <c r="K653" s="328"/>
    </row>
    <row r="654" spans="1:11" s="515" customFormat="1" ht="12.75">
      <c r="A654" s="523"/>
      <c r="B654" s="518"/>
      <c r="C654" s="518"/>
      <c r="D654" s="518"/>
      <c r="E654" s="518"/>
      <c r="F654" s="518"/>
      <c r="G654" s="518"/>
      <c r="H654" s="518"/>
      <c r="I654" s="518"/>
      <c r="J654" s="518"/>
      <c r="K654" s="328"/>
    </row>
    <row r="655" spans="1:11" s="515" customFormat="1" ht="12.75">
      <c r="A655" s="523"/>
      <c r="B655" s="518"/>
      <c r="C655" s="518"/>
      <c r="D655" s="518"/>
      <c r="E655" s="518"/>
      <c r="F655" s="518"/>
      <c r="G655" s="518"/>
      <c r="H655" s="518"/>
      <c r="I655" s="518"/>
      <c r="J655" s="518"/>
      <c r="K655" s="328"/>
    </row>
    <row r="656" spans="1:11" s="515" customFormat="1" ht="12.75">
      <c r="A656" s="523"/>
      <c r="B656" s="518"/>
      <c r="C656" s="518"/>
      <c r="D656" s="518"/>
      <c r="E656" s="518"/>
      <c r="F656" s="518"/>
      <c r="G656" s="518"/>
      <c r="H656" s="518"/>
      <c r="I656" s="518"/>
      <c r="J656" s="518"/>
      <c r="K656" s="328"/>
    </row>
    <row r="657" spans="1:11" s="515" customFormat="1" ht="12.75">
      <c r="A657" s="523"/>
      <c r="B657" s="518"/>
      <c r="C657" s="518"/>
      <c r="D657" s="518"/>
      <c r="E657" s="518"/>
      <c r="F657" s="518"/>
      <c r="G657" s="518"/>
      <c r="H657" s="518"/>
      <c r="I657" s="518"/>
      <c r="J657" s="518"/>
      <c r="K657" s="328"/>
    </row>
    <row r="658" spans="1:11" s="515" customFormat="1" ht="12.75">
      <c r="A658" s="523"/>
      <c r="B658" s="518"/>
      <c r="C658" s="518"/>
      <c r="D658" s="518"/>
      <c r="E658" s="518"/>
      <c r="F658" s="518"/>
      <c r="G658" s="518"/>
      <c r="H658" s="518"/>
      <c r="I658" s="518"/>
      <c r="J658" s="518"/>
      <c r="K658" s="328"/>
    </row>
    <row r="659" spans="1:11" s="515" customFormat="1" ht="12.75">
      <c r="A659" s="523"/>
      <c r="B659" s="518"/>
      <c r="C659" s="518"/>
      <c r="D659" s="518"/>
      <c r="E659" s="518"/>
      <c r="F659" s="518"/>
      <c r="G659" s="518"/>
      <c r="H659" s="518"/>
      <c r="I659" s="518"/>
      <c r="J659" s="518"/>
      <c r="K659" s="328"/>
    </row>
    <row r="660" spans="1:11" s="515" customFormat="1" ht="12.75">
      <c r="A660" s="523"/>
      <c r="B660" s="518"/>
      <c r="C660" s="518"/>
      <c r="D660" s="518"/>
      <c r="E660" s="518"/>
      <c r="F660" s="518"/>
      <c r="G660" s="518"/>
      <c r="H660" s="518"/>
      <c r="I660" s="518"/>
      <c r="J660" s="518"/>
      <c r="K660" s="328"/>
    </row>
    <row r="661" spans="1:11" s="515" customFormat="1" ht="12.75">
      <c r="A661" s="523"/>
      <c r="B661" s="518"/>
      <c r="C661" s="518"/>
      <c r="D661" s="518"/>
      <c r="E661" s="518"/>
      <c r="F661" s="518"/>
      <c r="G661" s="518"/>
      <c r="H661" s="518"/>
      <c r="I661" s="518"/>
      <c r="J661" s="518"/>
      <c r="K661" s="328"/>
    </row>
    <row r="662" spans="1:11" s="515" customFormat="1" ht="12.75">
      <c r="A662" s="523"/>
      <c r="B662" s="518"/>
      <c r="C662" s="518"/>
      <c r="D662" s="518"/>
      <c r="E662" s="518"/>
      <c r="F662" s="518"/>
      <c r="G662" s="518"/>
      <c r="H662" s="518"/>
      <c r="I662" s="518"/>
      <c r="J662" s="518"/>
      <c r="K662" s="328"/>
    </row>
    <row r="663" spans="1:11" s="515" customFormat="1" ht="12.75">
      <c r="A663" s="523"/>
      <c r="B663" s="518"/>
      <c r="C663" s="518"/>
      <c r="D663" s="518"/>
      <c r="E663" s="518"/>
      <c r="F663" s="518"/>
      <c r="G663" s="518"/>
      <c r="H663" s="518"/>
      <c r="I663" s="518"/>
      <c r="J663" s="518"/>
      <c r="K663" s="328"/>
    </row>
    <row r="664" spans="1:11" ht="12.75">
      <c r="A664" s="526"/>
      <c r="B664" s="518"/>
      <c r="C664" s="527"/>
      <c r="D664" s="518"/>
      <c r="E664" s="527"/>
      <c r="F664" s="527"/>
      <c r="G664" s="527"/>
      <c r="H664" s="527"/>
      <c r="I664" s="527"/>
      <c r="J664" s="527"/>
      <c r="K664" s="328"/>
    </row>
    <row r="665" spans="1:11" ht="12.75">
      <c r="A665" s="526"/>
      <c r="B665" s="518"/>
      <c r="C665" s="527"/>
      <c r="D665" s="518"/>
      <c r="E665" s="527"/>
      <c r="F665" s="527"/>
      <c r="G665" s="527"/>
      <c r="H665" s="527"/>
      <c r="I665" s="527"/>
      <c r="J665" s="527"/>
      <c r="K665" s="328"/>
    </row>
    <row r="666" spans="1:11" ht="12.75">
      <c r="A666" s="526"/>
      <c r="B666" s="518"/>
      <c r="C666" s="527"/>
      <c r="D666" s="518"/>
      <c r="E666" s="527"/>
      <c r="F666" s="527"/>
      <c r="G666" s="527"/>
      <c r="H666" s="527"/>
      <c r="I666" s="527"/>
      <c r="J666" s="527"/>
      <c r="K666" s="528"/>
    </row>
    <row r="667" spans="1:11" ht="12.75">
      <c r="A667" s="526"/>
      <c r="B667" s="518"/>
      <c r="C667" s="527"/>
      <c r="D667" s="518"/>
      <c r="E667" s="527"/>
      <c r="F667" s="527"/>
      <c r="G667" s="527"/>
      <c r="H667" s="527"/>
      <c r="I667" s="527"/>
      <c r="J667" s="527"/>
      <c r="K667" s="528"/>
    </row>
    <row r="668" spans="1:11" ht="12.75">
      <c r="A668" s="526"/>
      <c r="B668" s="518"/>
      <c r="C668" s="527"/>
      <c r="D668" s="527"/>
      <c r="E668" s="527"/>
      <c r="F668" s="527"/>
      <c r="G668" s="527"/>
      <c r="H668" s="527"/>
      <c r="I668" s="527"/>
      <c r="J668" s="527"/>
      <c r="K668" s="528"/>
    </row>
    <row r="669" spans="1:11" ht="12.75">
      <c r="A669" s="526"/>
      <c r="B669" s="518"/>
      <c r="C669" s="527"/>
      <c r="D669" s="527"/>
      <c r="E669" s="527"/>
      <c r="F669" s="527"/>
      <c r="G669" s="527"/>
      <c r="H669" s="527"/>
      <c r="I669" s="527"/>
      <c r="J669" s="527"/>
      <c r="K669" s="528"/>
    </row>
    <row r="670" spans="1:11" ht="12.75">
      <c r="A670" s="526"/>
      <c r="B670" s="518"/>
      <c r="C670" s="527"/>
      <c r="D670" s="527"/>
      <c r="E670" s="527"/>
      <c r="F670" s="527"/>
      <c r="G670" s="527"/>
      <c r="H670" s="527"/>
      <c r="I670" s="527"/>
      <c r="J670" s="527"/>
      <c r="K670" s="528"/>
    </row>
    <row r="671" spans="1:11" ht="12.75">
      <c r="A671" s="386"/>
      <c r="B671" s="518"/>
      <c r="C671" s="527"/>
      <c r="D671" s="527"/>
      <c r="E671" s="527"/>
      <c r="F671" s="527"/>
      <c r="G671" s="527"/>
      <c r="H671" s="527"/>
      <c r="I671" s="527"/>
      <c r="J671" s="527"/>
      <c r="K671" s="528"/>
    </row>
    <row r="672" spans="1:11" ht="12.75">
      <c r="A672" s="386"/>
      <c r="B672" s="518"/>
      <c r="C672" s="527"/>
      <c r="D672" s="527"/>
      <c r="E672" s="527"/>
      <c r="F672" s="527"/>
      <c r="G672" s="527"/>
      <c r="H672" s="527"/>
      <c r="I672" s="527"/>
      <c r="J672" s="527"/>
      <c r="K672" s="528"/>
    </row>
    <row r="673" spans="4:11" ht="12.75">
      <c r="D673" s="527"/>
      <c r="K673" s="528"/>
    </row>
    <row r="674" spans="4:11" ht="12.75">
      <c r="D674" s="527"/>
      <c r="K674" s="528"/>
    </row>
    <row r="675" ht="12.75">
      <c r="D675" s="527"/>
    </row>
    <row r="676" ht="12.75">
      <c r="D676" s="527"/>
    </row>
  </sheetData>
  <sheetProtection/>
  <protectedRanges>
    <protectedRange sqref="A437" name="Диапазон1_3"/>
    <protectedRange sqref="A280" name="Диапазон1_2_1"/>
  </protectedRanges>
  <mergeCells count="23">
    <mergeCell ref="J602:K602"/>
    <mergeCell ref="J601:K601"/>
    <mergeCell ref="E12:J12"/>
    <mergeCell ref="J600:K600"/>
    <mergeCell ref="K7:K11"/>
    <mergeCell ref="B7:B11"/>
    <mergeCell ref="J599:K599"/>
    <mergeCell ref="M8:M11"/>
    <mergeCell ref="N8:N11"/>
    <mergeCell ref="O8:O11"/>
    <mergeCell ref="E598:J598"/>
    <mergeCell ref="C7:C11"/>
    <mergeCell ref="L7:P7"/>
    <mergeCell ref="A6:K6"/>
    <mergeCell ref="P8:P11"/>
    <mergeCell ref="D7:D11"/>
    <mergeCell ref="J1:P1"/>
    <mergeCell ref="J2:P2"/>
    <mergeCell ref="K3:P3"/>
    <mergeCell ref="A5:P5"/>
    <mergeCell ref="L8:L11"/>
    <mergeCell ref="E7:J11"/>
    <mergeCell ref="A7:A11"/>
  </mergeCells>
  <printOptions gridLines="1"/>
  <pageMargins left="0.5905511811023623" right="0.5905511811023623" top="0.5511811023622047" bottom="0.3937007874015748" header="0.1968503937007874" footer="0"/>
  <pageSetup horizontalDpi="600" verticalDpi="600" orientation="portrait" paperSize="9" scale="5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66"/>
  <sheetViews>
    <sheetView tabSelected="1" workbookViewId="0" topLeftCell="B1">
      <selection activeCell="B6" sqref="B6:N6"/>
    </sheetView>
  </sheetViews>
  <sheetFormatPr defaultColWidth="9.140625" defaultRowHeight="12.75"/>
  <cols>
    <col min="1" max="1" width="5.00390625" style="74" hidden="1" customWidth="1"/>
    <col min="2" max="2" width="63.8515625" style="77" customWidth="1"/>
    <col min="3" max="3" width="5.57421875" style="77" customWidth="1"/>
    <col min="4" max="4" width="2.8515625" style="347" customWidth="1"/>
    <col min="5" max="5" width="3.28125" style="347" customWidth="1"/>
    <col min="6" max="6" width="2.28125" style="347" customWidth="1"/>
    <col min="7" max="7" width="6.28125" style="77" customWidth="1"/>
    <col min="8" max="8" width="3.421875" style="77" customWidth="1"/>
    <col min="9" max="9" width="8.7109375" style="347" customWidth="1"/>
    <col min="10" max="11" width="15.8515625" style="77" hidden="1" customWidth="1"/>
    <col min="12" max="12" width="15.8515625" style="77" customWidth="1"/>
    <col min="13" max="13" width="21.140625" style="77" customWidth="1"/>
    <col min="14" max="14" width="15.57421875" style="77" customWidth="1"/>
    <col min="15" max="15" width="19.421875" style="77" customWidth="1"/>
    <col min="16" max="16" width="15.421875" style="77" bestFit="1" customWidth="1"/>
    <col min="17" max="16384" width="9.140625" style="77" customWidth="1"/>
  </cols>
  <sheetData>
    <row r="1" spans="2:14" ht="12.75">
      <c r="B1" s="75"/>
      <c r="C1" s="75"/>
      <c r="D1" s="76"/>
      <c r="E1" s="76"/>
      <c r="F1" s="76"/>
      <c r="G1" s="75"/>
      <c r="H1" s="75"/>
      <c r="I1" s="76"/>
      <c r="J1" s="75"/>
      <c r="K1" s="75"/>
      <c r="L1" s="75"/>
      <c r="M1" s="75"/>
      <c r="N1" s="75"/>
    </row>
    <row r="2" spans="2:14" ht="12.75" customHeight="1">
      <c r="B2" s="75"/>
      <c r="C2" s="75"/>
      <c r="D2" s="76"/>
      <c r="E2" s="76"/>
      <c r="F2" s="76"/>
      <c r="G2" s="78"/>
      <c r="H2" s="78"/>
      <c r="I2" s="78"/>
      <c r="J2" s="596" t="s">
        <v>330</v>
      </c>
      <c r="K2" s="596"/>
      <c r="L2" s="596"/>
      <c r="M2" s="596"/>
      <c r="N2" s="596"/>
    </row>
    <row r="3" spans="2:14" ht="21.75" customHeight="1">
      <c r="B3" s="75"/>
      <c r="C3" s="75"/>
      <c r="D3" s="76"/>
      <c r="E3" s="76"/>
      <c r="F3" s="76"/>
      <c r="G3" s="78"/>
      <c r="H3" s="78"/>
      <c r="I3" s="78"/>
      <c r="J3" s="596" t="s">
        <v>254</v>
      </c>
      <c r="K3" s="596"/>
      <c r="L3" s="596"/>
      <c r="M3" s="596"/>
      <c r="N3" s="596"/>
    </row>
    <row r="4" spans="2:14" ht="21.75" customHeight="1">
      <c r="B4" s="75"/>
      <c r="C4" s="75"/>
      <c r="D4" s="76"/>
      <c r="E4" s="76"/>
      <c r="F4" s="76"/>
      <c r="G4" s="79"/>
      <c r="H4" s="79"/>
      <c r="I4" s="79"/>
      <c r="J4" s="598" t="s">
        <v>352</v>
      </c>
      <c r="K4" s="598"/>
      <c r="L4" s="598"/>
      <c r="M4" s="598"/>
      <c r="N4" s="598"/>
    </row>
    <row r="5" spans="2:14" ht="12.75">
      <c r="B5" s="75"/>
      <c r="C5" s="75"/>
      <c r="D5" s="76"/>
      <c r="E5" s="76"/>
      <c r="F5" s="76"/>
      <c r="G5" s="75"/>
      <c r="H5" s="75"/>
      <c r="I5" s="76"/>
      <c r="J5" s="75"/>
      <c r="K5" s="75"/>
      <c r="L5" s="75"/>
      <c r="M5" s="75"/>
      <c r="N5" s="75"/>
    </row>
    <row r="6" spans="2:14" ht="68.25" customHeight="1">
      <c r="B6" s="578" t="s">
        <v>387</v>
      </c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</row>
    <row r="7" spans="2:14" ht="12.75">
      <c r="B7" s="80"/>
      <c r="C7" s="80"/>
      <c r="D7" s="80"/>
      <c r="E7" s="80"/>
      <c r="F7" s="80"/>
      <c r="G7" s="80"/>
      <c r="H7" s="80"/>
      <c r="I7" s="80"/>
      <c r="J7" s="75"/>
      <c r="K7" s="75"/>
      <c r="L7" s="75"/>
      <c r="M7" s="75"/>
      <c r="N7" s="75"/>
    </row>
    <row r="8" spans="1:14" ht="21.75" customHeight="1">
      <c r="A8" s="81" t="s">
        <v>164</v>
      </c>
      <c r="B8" s="589" t="s">
        <v>106</v>
      </c>
      <c r="C8" s="583" t="s">
        <v>165</v>
      </c>
      <c r="D8" s="584"/>
      <c r="E8" s="584"/>
      <c r="F8" s="584"/>
      <c r="G8" s="584"/>
      <c r="H8" s="585"/>
      <c r="I8" s="589" t="s">
        <v>307</v>
      </c>
      <c r="J8" s="582" t="s">
        <v>301</v>
      </c>
      <c r="K8" s="582"/>
      <c r="L8" s="582"/>
      <c r="M8" s="582"/>
      <c r="N8" s="582"/>
    </row>
    <row r="9" spans="1:14" ht="57.75" customHeight="1">
      <c r="A9" s="81"/>
      <c r="B9" s="590"/>
      <c r="C9" s="586"/>
      <c r="D9" s="587"/>
      <c r="E9" s="587"/>
      <c r="F9" s="587"/>
      <c r="G9" s="587"/>
      <c r="H9" s="588"/>
      <c r="I9" s="590"/>
      <c r="J9" s="82" t="s">
        <v>302</v>
      </c>
      <c r="K9" s="82"/>
      <c r="L9" s="83" t="s">
        <v>303</v>
      </c>
      <c r="M9" s="84" t="s">
        <v>304</v>
      </c>
      <c r="N9" s="85" t="s">
        <v>355</v>
      </c>
    </row>
    <row r="10" spans="1:14" s="92" customFormat="1" ht="12.75">
      <c r="A10" s="86">
        <v>1</v>
      </c>
      <c r="B10" s="86">
        <v>1</v>
      </c>
      <c r="C10" s="581" t="s">
        <v>166</v>
      </c>
      <c r="D10" s="581"/>
      <c r="E10" s="581"/>
      <c r="F10" s="581"/>
      <c r="G10" s="581"/>
      <c r="H10" s="581"/>
      <c r="I10" s="87" t="s">
        <v>167</v>
      </c>
      <c r="J10" s="88">
        <v>4</v>
      </c>
      <c r="K10" s="86"/>
      <c r="L10" s="89">
        <v>4</v>
      </c>
      <c r="M10" s="90">
        <v>5</v>
      </c>
      <c r="N10" s="91">
        <v>6</v>
      </c>
    </row>
    <row r="11" spans="1:14" ht="9" customHeight="1">
      <c r="A11" s="93"/>
      <c r="B11" s="94"/>
      <c r="C11" s="81"/>
      <c r="D11" s="95"/>
      <c r="E11" s="95"/>
      <c r="F11" s="95"/>
      <c r="G11" s="96"/>
      <c r="H11" s="97"/>
      <c r="I11" s="98"/>
      <c r="J11" s="99"/>
      <c r="K11" s="100"/>
      <c r="L11" s="100"/>
      <c r="M11" s="101"/>
      <c r="N11" s="102"/>
    </row>
    <row r="12" spans="1:15" ht="18.75">
      <c r="A12" s="103"/>
      <c r="B12" s="104" t="s">
        <v>161</v>
      </c>
      <c r="C12" s="105"/>
      <c r="D12" s="106"/>
      <c r="E12" s="106"/>
      <c r="F12" s="106"/>
      <c r="G12" s="107"/>
      <c r="H12" s="108"/>
      <c r="I12" s="109"/>
      <c r="J12" s="110" t="e">
        <f>J13+J90+J104+J114+J119+J131+J145+J150+J156+J164+J186+J207+J264+J181+J69+J278+J287+J300</f>
        <v>#REF!</v>
      </c>
      <c r="K12" s="111" t="e">
        <f>K13+K90+K104+K114+K119+K131+K145+K150+K156+K164+K186+K207+K264+K181+K69+K278+K287+K300</f>
        <v>#REF!</v>
      </c>
      <c r="L12" s="111">
        <f>L13+L90+L104+L114+L119+L131+L145+L150+L156+L164+L186+L207+L264+L181+L69+L278+L287+L300</f>
        <v>1483061362.3899999</v>
      </c>
      <c r="M12" s="111">
        <f>M13+M90+M104+M114+M119+M131+M145+M150+M156+M164+M186+M207+M264+M181+M69+M278+M287+M300</f>
        <v>1469937926.42</v>
      </c>
      <c r="N12" s="112">
        <f>N13+N90+N104+N114+N119+N131+N145+N150+N156+N164+N186+N207+N264+N181+N69+N278+N287+N300</f>
        <v>1506721587.1899998</v>
      </c>
      <c r="O12" s="113"/>
    </row>
    <row r="13" spans="1:15" ht="53.25" customHeight="1">
      <c r="A13" s="103"/>
      <c r="B13" s="114" t="s">
        <v>366</v>
      </c>
      <c r="C13" s="115" t="s">
        <v>94</v>
      </c>
      <c r="D13" s="116" t="s">
        <v>168</v>
      </c>
      <c r="E13" s="116" t="s">
        <v>168</v>
      </c>
      <c r="F13" s="116" t="s">
        <v>168</v>
      </c>
      <c r="G13" s="116" t="s">
        <v>169</v>
      </c>
      <c r="H13" s="117" t="s">
        <v>168</v>
      </c>
      <c r="I13" s="118"/>
      <c r="J13" s="110" t="e">
        <f>J14+J41+J51</f>
        <v>#REF!</v>
      </c>
      <c r="K13" s="111" t="e">
        <f>K14+K41+K51</f>
        <v>#REF!</v>
      </c>
      <c r="L13" s="111">
        <f>L14+L41+L51</f>
        <v>192906908.30999997</v>
      </c>
      <c r="M13" s="112">
        <f>M14+M41+M51</f>
        <v>194195308.30999997</v>
      </c>
      <c r="N13" s="119">
        <f>N14+N41+N51</f>
        <v>193442753.23999998</v>
      </c>
      <c r="O13" s="113"/>
    </row>
    <row r="14" spans="1:15" s="122" customFormat="1" ht="29.25" customHeight="1">
      <c r="A14" s="120"/>
      <c r="B14" s="121" t="s">
        <v>17</v>
      </c>
      <c r="C14" s="115" t="s">
        <v>94</v>
      </c>
      <c r="D14" s="116" t="s">
        <v>170</v>
      </c>
      <c r="E14" s="116" t="s">
        <v>168</v>
      </c>
      <c r="F14" s="116" t="s">
        <v>168</v>
      </c>
      <c r="G14" s="116" t="s">
        <v>169</v>
      </c>
      <c r="H14" s="117" t="s">
        <v>168</v>
      </c>
      <c r="I14" s="118"/>
      <c r="J14" s="110" t="e">
        <f>J23+J28+#REF!+J18+J31+J15+#REF!+J34+#REF!+#REF!+#REF!</f>
        <v>#REF!</v>
      </c>
      <c r="K14" s="111" t="e">
        <f>K23+K28+#REF!+K18+K31+K15+#REF!+K34+#REF!+#REF!+#REF!</f>
        <v>#REF!</v>
      </c>
      <c r="L14" s="111">
        <f>L23+L28+L18+L31+L15+L34+L37</f>
        <v>147536335.07999998</v>
      </c>
      <c r="M14" s="112">
        <f>M23+M28+M18+M31+M15+M34+M37</f>
        <v>147532135.07999998</v>
      </c>
      <c r="N14" s="119">
        <f>N23+N28+N18+N31+N15+N34+N37</f>
        <v>147532135.07999998</v>
      </c>
      <c r="O14" s="113"/>
    </row>
    <row r="15" spans="1:15" s="122" customFormat="1" ht="63.75">
      <c r="A15" s="120"/>
      <c r="B15" s="123" t="s">
        <v>234</v>
      </c>
      <c r="C15" s="124" t="s">
        <v>94</v>
      </c>
      <c r="D15" s="125" t="s">
        <v>170</v>
      </c>
      <c r="E15" s="126" t="s">
        <v>168</v>
      </c>
      <c r="F15" s="126" t="s">
        <v>168</v>
      </c>
      <c r="G15" s="127" t="s">
        <v>235</v>
      </c>
      <c r="H15" s="128" t="s">
        <v>168</v>
      </c>
      <c r="I15" s="129"/>
      <c r="J15" s="130">
        <f aca="true" t="shared" si="0" ref="J15:N16">J16</f>
        <v>600000</v>
      </c>
      <c r="K15" s="131">
        <f t="shared" si="0"/>
        <v>0</v>
      </c>
      <c r="L15" s="131">
        <f t="shared" si="0"/>
        <v>700000</v>
      </c>
      <c r="M15" s="132">
        <f t="shared" si="0"/>
        <v>700000</v>
      </c>
      <c r="N15" s="133">
        <f t="shared" si="0"/>
        <v>700000</v>
      </c>
      <c r="O15" s="113"/>
    </row>
    <row r="16" spans="1:15" s="122" customFormat="1" ht="25.5">
      <c r="A16" s="120"/>
      <c r="B16" s="134" t="s">
        <v>29</v>
      </c>
      <c r="C16" s="124" t="s">
        <v>94</v>
      </c>
      <c r="D16" s="125" t="s">
        <v>170</v>
      </c>
      <c r="E16" s="126" t="s">
        <v>168</v>
      </c>
      <c r="F16" s="126" t="s">
        <v>168</v>
      </c>
      <c r="G16" s="127" t="s">
        <v>235</v>
      </c>
      <c r="H16" s="128" t="s">
        <v>168</v>
      </c>
      <c r="I16" s="129" t="s">
        <v>182</v>
      </c>
      <c r="J16" s="130">
        <f t="shared" si="0"/>
        <v>600000</v>
      </c>
      <c r="K16" s="131">
        <f t="shared" si="0"/>
        <v>0</v>
      </c>
      <c r="L16" s="131">
        <f t="shared" si="0"/>
        <v>700000</v>
      </c>
      <c r="M16" s="132">
        <f t="shared" si="0"/>
        <v>700000</v>
      </c>
      <c r="N16" s="133">
        <f t="shared" si="0"/>
        <v>700000</v>
      </c>
      <c r="O16" s="113"/>
    </row>
    <row r="17" spans="1:15" s="122" customFormat="1" ht="18.75">
      <c r="A17" s="120"/>
      <c r="B17" s="134" t="s">
        <v>30</v>
      </c>
      <c r="C17" s="124" t="s">
        <v>94</v>
      </c>
      <c r="D17" s="125" t="s">
        <v>170</v>
      </c>
      <c r="E17" s="126" t="s">
        <v>168</v>
      </c>
      <c r="F17" s="126" t="s">
        <v>168</v>
      </c>
      <c r="G17" s="127" t="s">
        <v>235</v>
      </c>
      <c r="H17" s="128" t="s">
        <v>168</v>
      </c>
      <c r="I17" s="129" t="s">
        <v>31</v>
      </c>
      <c r="J17" s="130">
        <v>600000</v>
      </c>
      <c r="K17" s="131">
        <v>0</v>
      </c>
      <c r="L17" s="131">
        <v>700000</v>
      </c>
      <c r="M17" s="132">
        <v>700000</v>
      </c>
      <c r="N17" s="133">
        <v>700000</v>
      </c>
      <c r="O17" s="113"/>
    </row>
    <row r="18" spans="1:15" s="122" customFormat="1" ht="25.5">
      <c r="A18" s="120"/>
      <c r="B18" s="135" t="s">
        <v>40</v>
      </c>
      <c r="C18" s="124" t="s">
        <v>94</v>
      </c>
      <c r="D18" s="126" t="s">
        <v>170</v>
      </c>
      <c r="E18" s="136" t="s">
        <v>168</v>
      </c>
      <c r="F18" s="136" t="s">
        <v>168</v>
      </c>
      <c r="G18" s="126" t="s">
        <v>36</v>
      </c>
      <c r="H18" s="128" t="s">
        <v>168</v>
      </c>
      <c r="I18" s="137"/>
      <c r="J18" s="130">
        <f>J19+J21</f>
        <v>5729400</v>
      </c>
      <c r="K18" s="131">
        <f>K19+K21</f>
        <v>0</v>
      </c>
      <c r="L18" s="131">
        <f>L19+L21</f>
        <v>8274845.08</v>
      </c>
      <c r="M18" s="132">
        <f>M19+M21</f>
        <v>8274845.08</v>
      </c>
      <c r="N18" s="133">
        <f>N19+N21</f>
        <v>8274845.08</v>
      </c>
      <c r="O18" s="113"/>
    </row>
    <row r="19" spans="1:15" s="122" customFormat="1" ht="51">
      <c r="A19" s="120"/>
      <c r="B19" s="134" t="s">
        <v>92</v>
      </c>
      <c r="C19" s="124" t="s">
        <v>94</v>
      </c>
      <c r="D19" s="126" t="s">
        <v>170</v>
      </c>
      <c r="E19" s="136" t="s">
        <v>168</v>
      </c>
      <c r="F19" s="136" t="s">
        <v>168</v>
      </c>
      <c r="G19" s="126" t="s">
        <v>36</v>
      </c>
      <c r="H19" s="128" t="s">
        <v>168</v>
      </c>
      <c r="I19" s="137">
        <v>100</v>
      </c>
      <c r="J19" s="130">
        <f>J20</f>
        <v>5556300</v>
      </c>
      <c r="K19" s="131">
        <f>K20</f>
        <v>0</v>
      </c>
      <c r="L19" s="138">
        <f>L20</f>
        <v>8121745.08</v>
      </c>
      <c r="M19" s="139">
        <f>M20</f>
        <v>8121745.08</v>
      </c>
      <c r="N19" s="140">
        <f>N20</f>
        <v>8121745.08</v>
      </c>
      <c r="O19" s="113"/>
    </row>
    <row r="20" spans="1:15" s="122" customFormat="1" ht="25.5">
      <c r="A20" s="120"/>
      <c r="B20" s="134" t="s">
        <v>82</v>
      </c>
      <c r="C20" s="124" t="s">
        <v>94</v>
      </c>
      <c r="D20" s="126" t="s">
        <v>170</v>
      </c>
      <c r="E20" s="136" t="s">
        <v>168</v>
      </c>
      <c r="F20" s="136" t="s">
        <v>168</v>
      </c>
      <c r="G20" s="126" t="s">
        <v>36</v>
      </c>
      <c r="H20" s="128" t="s">
        <v>168</v>
      </c>
      <c r="I20" s="137">
        <v>120</v>
      </c>
      <c r="J20" s="130">
        <v>5556300</v>
      </c>
      <c r="K20" s="131">
        <v>0</v>
      </c>
      <c r="L20" s="138">
        <v>8121745.08</v>
      </c>
      <c r="M20" s="139">
        <v>8121745.08</v>
      </c>
      <c r="N20" s="140">
        <v>8121745.08</v>
      </c>
      <c r="O20" s="113"/>
    </row>
    <row r="21" spans="1:15" s="122" customFormat="1" ht="25.5">
      <c r="A21" s="120"/>
      <c r="B21" s="134" t="s">
        <v>73</v>
      </c>
      <c r="C21" s="124" t="s">
        <v>94</v>
      </c>
      <c r="D21" s="126" t="s">
        <v>170</v>
      </c>
      <c r="E21" s="136" t="s">
        <v>168</v>
      </c>
      <c r="F21" s="136" t="s">
        <v>168</v>
      </c>
      <c r="G21" s="126" t="s">
        <v>36</v>
      </c>
      <c r="H21" s="128" t="s">
        <v>168</v>
      </c>
      <c r="I21" s="137">
        <v>200</v>
      </c>
      <c r="J21" s="130">
        <f>J22</f>
        <v>173100</v>
      </c>
      <c r="K21" s="131">
        <f>K22</f>
        <v>0</v>
      </c>
      <c r="L21" s="138">
        <f>L22</f>
        <v>153100</v>
      </c>
      <c r="M21" s="139">
        <f>M22</f>
        <v>153100</v>
      </c>
      <c r="N21" s="140">
        <f>N22</f>
        <v>153100</v>
      </c>
      <c r="O21" s="113"/>
    </row>
    <row r="22" spans="1:15" s="122" customFormat="1" ht="25.5">
      <c r="A22" s="120"/>
      <c r="B22" s="134" t="s">
        <v>75</v>
      </c>
      <c r="C22" s="124" t="s">
        <v>94</v>
      </c>
      <c r="D22" s="126" t="s">
        <v>170</v>
      </c>
      <c r="E22" s="136" t="s">
        <v>168</v>
      </c>
      <c r="F22" s="136" t="s">
        <v>168</v>
      </c>
      <c r="G22" s="126" t="s">
        <v>36</v>
      </c>
      <c r="H22" s="128" t="s">
        <v>168</v>
      </c>
      <c r="I22" s="137">
        <v>240</v>
      </c>
      <c r="J22" s="130">
        <v>173100</v>
      </c>
      <c r="K22" s="131">
        <v>0</v>
      </c>
      <c r="L22" s="138">
        <v>153100</v>
      </c>
      <c r="M22" s="139">
        <v>153100</v>
      </c>
      <c r="N22" s="140">
        <v>153100</v>
      </c>
      <c r="O22" s="113"/>
    </row>
    <row r="23" spans="1:15" ht="18.75">
      <c r="A23" s="103"/>
      <c r="B23" s="134" t="s">
        <v>18</v>
      </c>
      <c r="C23" s="141" t="s">
        <v>94</v>
      </c>
      <c r="D23" s="142" t="s">
        <v>170</v>
      </c>
      <c r="E23" s="136" t="s">
        <v>168</v>
      </c>
      <c r="F23" s="136" t="s">
        <v>168</v>
      </c>
      <c r="G23" s="142" t="s">
        <v>20</v>
      </c>
      <c r="H23" s="128" t="s">
        <v>168</v>
      </c>
      <c r="I23" s="143"/>
      <c r="J23" s="130" t="e">
        <f>J24+#REF!+J26+#REF!+#REF!</f>
        <v>#REF!</v>
      </c>
      <c r="K23" s="131" t="e">
        <f>K24+#REF!+K26+#REF!+#REF!</f>
        <v>#REF!</v>
      </c>
      <c r="L23" s="131">
        <f>L24+L26</f>
        <v>995600</v>
      </c>
      <c r="M23" s="131">
        <f>M24+M26</f>
        <v>991400</v>
      </c>
      <c r="N23" s="132">
        <f>N24+N26</f>
        <v>991400</v>
      </c>
      <c r="O23" s="113"/>
    </row>
    <row r="24" spans="1:15" ht="25.5">
      <c r="A24" s="103"/>
      <c r="B24" s="134" t="s">
        <v>73</v>
      </c>
      <c r="C24" s="144" t="s">
        <v>94</v>
      </c>
      <c r="D24" s="136" t="s">
        <v>170</v>
      </c>
      <c r="E24" s="136" t="s">
        <v>168</v>
      </c>
      <c r="F24" s="136" t="s">
        <v>168</v>
      </c>
      <c r="G24" s="142" t="s">
        <v>20</v>
      </c>
      <c r="H24" s="128" t="s">
        <v>168</v>
      </c>
      <c r="I24" s="137" t="s">
        <v>74</v>
      </c>
      <c r="J24" s="145">
        <f>J25</f>
        <v>115600</v>
      </c>
      <c r="K24" s="146">
        <f>K25</f>
        <v>0</v>
      </c>
      <c r="L24" s="146">
        <f>L25</f>
        <v>115600</v>
      </c>
      <c r="M24" s="147">
        <f>M25</f>
        <v>139500</v>
      </c>
      <c r="N24" s="148">
        <f>N25</f>
        <v>139500</v>
      </c>
      <c r="O24" s="113"/>
    </row>
    <row r="25" spans="1:15" ht="25.5">
      <c r="A25" s="103"/>
      <c r="B25" s="134" t="s">
        <v>75</v>
      </c>
      <c r="C25" s="144" t="s">
        <v>94</v>
      </c>
      <c r="D25" s="136" t="s">
        <v>170</v>
      </c>
      <c r="E25" s="136" t="s">
        <v>168</v>
      </c>
      <c r="F25" s="136" t="s">
        <v>168</v>
      </c>
      <c r="G25" s="142" t="s">
        <v>20</v>
      </c>
      <c r="H25" s="128" t="s">
        <v>168</v>
      </c>
      <c r="I25" s="137" t="s">
        <v>76</v>
      </c>
      <c r="J25" s="145">
        <v>115600</v>
      </c>
      <c r="K25" s="146">
        <v>0</v>
      </c>
      <c r="L25" s="149">
        <v>115600</v>
      </c>
      <c r="M25" s="150">
        <v>139500</v>
      </c>
      <c r="N25" s="151">
        <v>139500</v>
      </c>
      <c r="O25" s="113"/>
    </row>
    <row r="26" spans="1:15" ht="25.5">
      <c r="A26" s="103"/>
      <c r="B26" s="134" t="s">
        <v>29</v>
      </c>
      <c r="C26" s="144" t="s">
        <v>94</v>
      </c>
      <c r="D26" s="136" t="s">
        <v>170</v>
      </c>
      <c r="E26" s="136" t="s">
        <v>168</v>
      </c>
      <c r="F26" s="136" t="s">
        <v>168</v>
      </c>
      <c r="G26" s="142" t="s">
        <v>20</v>
      </c>
      <c r="H26" s="128" t="s">
        <v>168</v>
      </c>
      <c r="I26" s="129">
        <v>600</v>
      </c>
      <c r="J26" s="145">
        <f>J27</f>
        <v>624308</v>
      </c>
      <c r="K26" s="146">
        <f>K27</f>
        <v>0</v>
      </c>
      <c r="L26" s="146">
        <f>L27</f>
        <v>880000</v>
      </c>
      <c r="M26" s="147">
        <f>M27</f>
        <v>851900</v>
      </c>
      <c r="N26" s="148">
        <f>N27</f>
        <v>851900</v>
      </c>
      <c r="O26" s="113"/>
    </row>
    <row r="27" spans="1:15" ht="18.75">
      <c r="A27" s="103"/>
      <c r="B27" s="134" t="s">
        <v>30</v>
      </c>
      <c r="C27" s="144" t="s">
        <v>94</v>
      </c>
      <c r="D27" s="136" t="s">
        <v>170</v>
      </c>
      <c r="E27" s="136" t="s">
        <v>168</v>
      </c>
      <c r="F27" s="136" t="s">
        <v>168</v>
      </c>
      <c r="G27" s="136" t="s">
        <v>20</v>
      </c>
      <c r="H27" s="128" t="s">
        <v>168</v>
      </c>
      <c r="I27" s="129" t="s">
        <v>31</v>
      </c>
      <c r="J27" s="145">
        <f>494308+130000</f>
        <v>624308</v>
      </c>
      <c r="K27" s="146">
        <v>0</v>
      </c>
      <c r="L27" s="146">
        <f>750000+130000</f>
        <v>880000</v>
      </c>
      <c r="M27" s="147">
        <f>771900+80000</f>
        <v>851900</v>
      </c>
      <c r="N27" s="148">
        <f>771900+80000</f>
        <v>851900</v>
      </c>
      <c r="O27" s="113"/>
    </row>
    <row r="28" spans="1:15" ht="18.75">
      <c r="A28" s="103"/>
      <c r="B28" s="134" t="s">
        <v>176</v>
      </c>
      <c r="C28" s="152" t="s">
        <v>94</v>
      </c>
      <c r="D28" s="153" t="s">
        <v>170</v>
      </c>
      <c r="E28" s="136" t="s">
        <v>168</v>
      </c>
      <c r="F28" s="136" t="s">
        <v>168</v>
      </c>
      <c r="G28" s="127" t="s">
        <v>177</v>
      </c>
      <c r="H28" s="128" t="s">
        <v>168</v>
      </c>
      <c r="I28" s="129"/>
      <c r="J28" s="145">
        <f aca="true" t="shared" si="1" ref="J28:N29">J29</f>
        <v>21697000</v>
      </c>
      <c r="K28" s="146">
        <f t="shared" si="1"/>
        <v>0</v>
      </c>
      <c r="L28" s="146">
        <f t="shared" si="1"/>
        <v>120576120</v>
      </c>
      <c r="M28" s="147">
        <f t="shared" si="1"/>
        <v>120576120</v>
      </c>
      <c r="N28" s="148">
        <f t="shared" si="1"/>
        <v>120576120</v>
      </c>
      <c r="O28" s="113"/>
    </row>
    <row r="29" spans="1:15" ht="25.5">
      <c r="A29" s="103"/>
      <c r="B29" s="134" t="s">
        <v>29</v>
      </c>
      <c r="C29" s="152" t="s">
        <v>94</v>
      </c>
      <c r="D29" s="153" t="s">
        <v>170</v>
      </c>
      <c r="E29" s="136" t="s">
        <v>168</v>
      </c>
      <c r="F29" s="136" t="s">
        <v>168</v>
      </c>
      <c r="G29" s="127" t="s">
        <v>177</v>
      </c>
      <c r="H29" s="128" t="s">
        <v>168</v>
      </c>
      <c r="I29" s="129">
        <v>600</v>
      </c>
      <c r="J29" s="145">
        <f t="shared" si="1"/>
        <v>21697000</v>
      </c>
      <c r="K29" s="146">
        <f t="shared" si="1"/>
        <v>0</v>
      </c>
      <c r="L29" s="146">
        <f t="shared" si="1"/>
        <v>120576120</v>
      </c>
      <c r="M29" s="147">
        <f t="shared" si="1"/>
        <v>120576120</v>
      </c>
      <c r="N29" s="148">
        <f t="shared" si="1"/>
        <v>120576120</v>
      </c>
      <c r="O29" s="113"/>
    </row>
    <row r="30" spans="1:15" ht="18.75">
      <c r="A30" s="103"/>
      <c r="B30" s="134" t="s">
        <v>30</v>
      </c>
      <c r="C30" s="152" t="s">
        <v>94</v>
      </c>
      <c r="D30" s="153" t="s">
        <v>170</v>
      </c>
      <c r="E30" s="136" t="s">
        <v>168</v>
      </c>
      <c r="F30" s="136" t="s">
        <v>168</v>
      </c>
      <c r="G30" s="127" t="s">
        <v>177</v>
      </c>
      <c r="H30" s="128" t="s">
        <v>168</v>
      </c>
      <c r="I30" s="129" t="s">
        <v>31</v>
      </c>
      <c r="J30" s="145">
        <v>21697000</v>
      </c>
      <c r="K30" s="146">
        <v>0</v>
      </c>
      <c r="L30" s="138">
        <v>120576120</v>
      </c>
      <c r="M30" s="139">
        <v>120576120</v>
      </c>
      <c r="N30" s="140">
        <v>120576120</v>
      </c>
      <c r="O30" s="113"/>
    </row>
    <row r="31" spans="1:15" ht="25.5">
      <c r="A31" s="103"/>
      <c r="B31" s="134" t="s">
        <v>183</v>
      </c>
      <c r="C31" s="124" t="s">
        <v>94</v>
      </c>
      <c r="D31" s="125" t="s">
        <v>170</v>
      </c>
      <c r="E31" s="126" t="s">
        <v>168</v>
      </c>
      <c r="F31" s="126" t="s">
        <v>168</v>
      </c>
      <c r="G31" s="127" t="s">
        <v>184</v>
      </c>
      <c r="H31" s="128" t="s">
        <v>168</v>
      </c>
      <c r="I31" s="129"/>
      <c r="J31" s="145">
        <f aca="true" t="shared" si="2" ref="J31:N32">J32</f>
        <v>13267300</v>
      </c>
      <c r="K31" s="146">
        <f t="shared" si="2"/>
        <v>0</v>
      </c>
      <c r="L31" s="146">
        <f t="shared" si="2"/>
        <v>16355870</v>
      </c>
      <c r="M31" s="147">
        <f t="shared" si="2"/>
        <v>16355870</v>
      </c>
      <c r="N31" s="148">
        <f t="shared" si="2"/>
        <v>16355870</v>
      </c>
      <c r="O31" s="113"/>
    </row>
    <row r="32" spans="1:15" ht="34.5" customHeight="1">
      <c r="A32" s="103"/>
      <c r="B32" s="134" t="s">
        <v>29</v>
      </c>
      <c r="C32" s="124" t="s">
        <v>94</v>
      </c>
      <c r="D32" s="125" t="s">
        <v>170</v>
      </c>
      <c r="E32" s="126" t="s">
        <v>168</v>
      </c>
      <c r="F32" s="126" t="s">
        <v>168</v>
      </c>
      <c r="G32" s="127" t="s">
        <v>184</v>
      </c>
      <c r="H32" s="128" t="s">
        <v>168</v>
      </c>
      <c r="I32" s="129">
        <v>600</v>
      </c>
      <c r="J32" s="145">
        <f t="shared" si="2"/>
        <v>13267300</v>
      </c>
      <c r="K32" s="146">
        <f t="shared" si="2"/>
        <v>0</v>
      </c>
      <c r="L32" s="146">
        <f t="shared" si="2"/>
        <v>16355870</v>
      </c>
      <c r="M32" s="147">
        <f t="shared" si="2"/>
        <v>16355870</v>
      </c>
      <c r="N32" s="148">
        <f t="shared" si="2"/>
        <v>16355870</v>
      </c>
      <c r="O32" s="113"/>
    </row>
    <row r="33" spans="1:15" ht="18.75">
      <c r="A33" s="103"/>
      <c r="B33" s="134" t="s">
        <v>30</v>
      </c>
      <c r="C33" s="124" t="s">
        <v>94</v>
      </c>
      <c r="D33" s="125" t="s">
        <v>170</v>
      </c>
      <c r="E33" s="126" t="s">
        <v>168</v>
      </c>
      <c r="F33" s="126" t="s">
        <v>168</v>
      </c>
      <c r="G33" s="127" t="s">
        <v>184</v>
      </c>
      <c r="H33" s="128" t="s">
        <v>168</v>
      </c>
      <c r="I33" s="129" t="s">
        <v>31</v>
      </c>
      <c r="J33" s="145">
        <v>13267300</v>
      </c>
      <c r="K33" s="146">
        <v>0</v>
      </c>
      <c r="L33" s="149">
        <v>16355870</v>
      </c>
      <c r="M33" s="150">
        <v>16355870</v>
      </c>
      <c r="N33" s="151">
        <v>16355870</v>
      </c>
      <c r="O33" s="113"/>
    </row>
    <row r="34" spans="1:15" ht="38.25">
      <c r="A34" s="103"/>
      <c r="B34" s="123" t="s">
        <v>381</v>
      </c>
      <c r="C34" s="152" t="s">
        <v>94</v>
      </c>
      <c r="D34" s="153" t="s">
        <v>170</v>
      </c>
      <c r="E34" s="126" t="s">
        <v>168</v>
      </c>
      <c r="F34" s="126" t="s">
        <v>168</v>
      </c>
      <c r="G34" s="127" t="s">
        <v>287</v>
      </c>
      <c r="H34" s="128" t="s">
        <v>168</v>
      </c>
      <c r="I34" s="129"/>
      <c r="J34" s="145">
        <f aca="true" t="shared" si="3" ref="J34:N35">J35</f>
        <v>408746.18</v>
      </c>
      <c r="K34" s="146">
        <f t="shared" si="3"/>
        <v>0</v>
      </c>
      <c r="L34" s="146">
        <f t="shared" si="3"/>
        <v>0</v>
      </c>
      <c r="M34" s="147">
        <f t="shared" si="3"/>
        <v>633900</v>
      </c>
      <c r="N34" s="148">
        <f t="shared" si="3"/>
        <v>633900</v>
      </c>
      <c r="O34" s="113"/>
    </row>
    <row r="35" spans="1:15" ht="25.5">
      <c r="A35" s="103"/>
      <c r="B35" s="134" t="s">
        <v>29</v>
      </c>
      <c r="C35" s="152" t="s">
        <v>94</v>
      </c>
      <c r="D35" s="153" t="s">
        <v>170</v>
      </c>
      <c r="E35" s="126" t="s">
        <v>168</v>
      </c>
      <c r="F35" s="126" t="s">
        <v>168</v>
      </c>
      <c r="G35" s="127" t="s">
        <v>287</v>
      </c>
      <c r="H35" s="128" t="s">
        <v>168</v>
      </c>
      <c r="I35" s="129">
        <v>600</v>
      </c>
      <c r="J35" s="145">
        <f t="shared" si="3"/>
        <v>408746.18</v>
      </c>
      <c r="K35" s="146">
        <f t="shared" si="3"/>
        <v>0</v>
      </c>
      <c r="L35" s="146">
        <f t="shared" si="3"/>
        <v>0</v>
      </c>
      <c r="M35" s="147">
        <f t="shared" si="3"/>
        <v>633900</v>
      </c>
      <c r="N35" s="148">
        <f t="shared" si="3"/>
        <v>633900</v>
      </c>
      <c r="O35" s="113"/>
    </row>
    <row r="36" spans="1:15" ht="18.75">
      <c r="A36" s="103"/>
      <c r="B36" s="134" t="s">
        <v>30</v>
      </c>
      <c r="C36" s="152" t="s">
        <v>94</v>
      </c>
      <c r="D36" s="153" t="s">
        <v>170</v>
      </c>
      <c r="E36" s="126" t="s">
        <v>168</v>
      </c>
      <c r="F36" s="126" t="s">
        <v>168</v>
      </c>
      <c r="G36" s="127" t="s">
        <v>287</v>
      </c>
      <c r="H36" s="128" t="s">
        <v>168</v>
      </c>
      <c r="I36" s="129" t="s">
        <v>31</v>
      </c>
      <c r="J36" s="154">
        <f>408746.18</f>
        <v>408746.18</v>
      </c>
      <c r="K36" s="138">
        <v>0</v>
      </c>
      <c r="L36" s="138">
        <v>0</v>
      </c>
      <c r="M36" s="139">
        <v>633900</v>
      </c>
      <c r="N36" s="140">
        <v>633900</v>
      </c>
      <c r="O36" s="113"/>
    </row>
    <row r="37" spans="1:15" ht="76.5">
      <c r="A37" s="103"/>
      <c r="B37" s="155" t="s">
        <v>358</v>
      </c>
      <c r="C37" s="152" t="s">
        <v>94</v>
      </c>
      <c r="D37" s="153" t="s">
        <v>170</v>
      </c>
      <c r="E37" s="126" t="s">
        <v>168</v>
      </c>
      <c r="F37" s="126" t="s">
        <v>168</v>
      </c>
      <c r="G37" s="127" t="s">
        <v>339</v>
      </c>
      <c r="H37" s="128" t="s">
        <v>168</v>
      </c>
      <c r="I37" s="129"/>
      <c r="J37" s="145"/>
      <c r="K37" s="146"/>
      <c r="L37" s="146">
        <f aca="true" t="shared" si="4" ref="L37:N38">L38</f>
        <v>633900</v>
      </c>
      <c r="M37" s="147">
        <f t="shared" si="4"/>
        <v>0</v>
      </c>
      <c r="N37" s="148">
        <f t="shared" si="4"/>
        <v>0</v>
      </c>
      <c r="O37" s="113"/>
    </row>
    <row r="38" spans="1:15" ht="25.5">
      <c r="A38" s="103"/>
      <c r="B38" s="134" t="s">
        <v>29</v>
      </c>
      <c r="C38" s="152" t="s">
        <v>94</v>
      </c>
      <c r="D38" s="153" t="s">
        <v>170</v>
      </c>
      <c r="E38" s="126" t="s">
        <v>168</v>
      </c>
      <c r="F38" s="126" t="s">
        <v>168</v>
      </c>
      <c r="G38" s="127" t="s">
        <v>339</v>
      </c>
      <c r="H38" s="128" t="s">
        <v>168</v>
      </c>
      <c r="I38" s="129">
        <v>600</v>
      </c>
      <c r="J38" s="145"/>
      <c r="K38" s="146"/>
      <c r="L38" s="146">
        <f t="shared" si="4"/>
        <v>633900</v>
      </c>
      <c r="M38" s="147">
        <f t="shared" si="4"/>
        <v>0</v>
      </c>
      <c r="N38" s="148">
        <f t="shared" si="4"/>
        <v>0</v>
      </c>
      <c r="O38" s="113"/>
    </row>
    <row r="39" spans="1:15" ht="18.75">
      <c r="A39" s="103"/>
      <c r="B39" s="134" t="s">
        <v>30</v>
      </c>
      <c r="C39" s="152" t="s">
        <v>94</v>
      </c>
      <c r="D39" s="153" t="s">
        <v>170</v>
      </c>
      <c r="E39" s="126" t="s">
        <v>168</v>
      </c>
      <c r="F39" s="126" t="s">
        <v>168</v>
      </c>
      <c r="G39" s="127" t="s">
        <v>339</v>
      </c>
      <c r="H39" s="128" t="s">
        <v>168</v>
      </c>
      <c r="I39" s="129" t="s">
        <v>31</v>
      </c>
      <c r="J39" s="145"/>
      <c r="K39" s="146"/>
      <c r="L39" s="138">
        <v>633900</v>
      </c>
      <c r="M39" s="139">
        <v>0</v>
      </c>
      <c r="N39" s="140">
        <v>0</v>
      </c>
      <c r="O39" s="113"/>
    </row>
    <row r="40" spans="1:15" ht="6.75" customHeight="1">
      <c r="A40" s="103"/>
      <c r="B40" s="134"/>
      <c r="C40" s="152"/>
      <c r="D40" s="153"/>
      <c r="E40" s="126"/>
      <c r="F40" s="126"/>
      <c r="G40" s="127"/>
      <c r="H40" s="128"/>
      <c r="I40" s="129"/>
      <c r="J40" s="145"/>
      <c r="K40" s="146"/>
      <c r="L40" s="146"/>
      <c r="M40" s="147"/>
      <c r="N40" s="148"/>
      <c r="O40" s="113"/>
    </row>
    <row r="41" spans="1:15" ht="25.5">
      <c r="A41" s="103"/>
      <c r="B41" s="121" t="s">
        <v>15</v>
      </c>
      <c r="C41" s="115" t="s">
        <v>94</v>
      </c>
      <c r="D41" s="116" t="s">
        <v>166</v>
      </c>
      <c r="E41" s="156" t="s">
        <v>168</v>
      </c>
      <c r="F41" s="156" t="s">
        <v>168</v>
      </c>
      <c r="G41" s="116" t="s">
        <v>169</v>
      </c>
      <c r="H41" s="157" t="s">
        <v>168</v>
      </c>
      <c r="I41" s="143"/>
      <c r="J41" s="110">
        <f>J42+J47</f>
        <v>160000</v>
      </c>
      <c r="K41" s="111">
        <f>K42+K47</f>
        <v>0</v>
      </c>
      <c r="L41" s="111">
        <f>L42+L47</f>
        <v>158900</v>
      </c>
      <c r="M41" s="112">
        <f>M42+M47</f>
        <v>555000</v>
      </c>
      <c r="N41" s="119">
        <f>N42+N47</f>
        <v>360000</v>
      </c>
      <c r="O41" s="113"/>
    </row>
    <row r="42" spans="1:15" ht="18.75">
      <c r="A42" s="103"/>
      <c r="B42" s="134" t="s">
        <v>18</v>
      </c>
      <c r="C42" s="141" t="s">
        <v>94</v>
      </c>
      <c r="D42" s="142" t="s">
        <v>166</v>
      </c>
      <c r="E42" s="136" t="s">
        <v>168</v>
      </c>
      <c r="F42" s="136" t="s">
        <v>168</v>
      </c>
      <c r="G42" s="142" t="s">
        <v>20</v>
      </c>
      <c r="H42" s="128" t="s">
        <v>168</v>
      </c>
      <c r="I42" s="143"/>
      <c r="J42" s="130">
        <f>J43+J45</f>
        <v>60000</v>
      </c>
      <c r="K42" s="131">
        <f>K43+K45</f>
        <v>0</v>
      </c>
      <c r="L42" s="131">
        <f>L43+L45</f>
        <v>93900</v>
      </c>
      <c r="M42" s="132">
        <f>M43+M45</f>
        <v>455000</v>
      </c>
      <c r="N42" s="133">
        <f>N43+N45</f>
        <v>260000</v>
      </c>
      <c r="O42" s="113"/>
    </row>
    <row r="43" spans="1:15" ht="25.5">
      <c r="A43" s="103"/>
      <c r="B43" s="134" t="s">
        <v>73</v>
      </c>
      <c r="C43" s="144" t="s">
        <v>94</v>
      </c>
      <c r="D43" s="136" t="s">
        <v>166</v>
      </c>
      <c r="E43" s="136" t="s">
        <v>168</v>
      </c>
      <c r="F43" s="136" t="s">
        <v>168</v>
      </c>
      <c r="G43" s="142" t="s">
        <v>20</v>
      </c>
      <c r="H43" s="128" t="s">
        <v>168</v>
      </c>
      <c r="I43" s="137" t="s">
        <v>74</v>
      </c>
      <c r="J43" s="130">
        <f>J44</f>
        <v>60000</v>
      </c>
      <c r="K43" s="131">
        <f>K44</f>
        <v>0</v>
      </c>
      <c r="L43" s="131">
        <f>L44</f>
        <v>93900</v>
      </c>
      <c r="M43" s="132">
        <f>M44</f>
        <v>425000</v>
      </c>
      <c r="N43" s="133">
        <f>N44</f>
        <v>230000</v>
      </c>
      <c r="O43" s="113"/>
    </row>
    <row r="44" spans="1:15" ht="25.5">
      <c r="A44" s="103"/>
      <c r="B44" s="134" t="s">
        <v>75</v>
      </c>
      <c r="C44" s="144" t="s">
        <v>94</v>
      </c>
      <c r="D44" s="136" t="s">
        <v>166</v>
      </c>
      <c r="E44" s="136" t="s">
        <v>168</v>
      </c>
      <c r="F44" s="136" t="s">
        <v>168</v>
      </c>
      <c r="G44" s="142" t="s">
        <v>20</v>
      </c>
      <c r="H44" s="128" t="s">
        <v>168</v>
      </c>
      <c r="I44" s="137" t="s">
        <v>76</v>
      </c>
      <c r="J44" s="130">
        <v>60000</v>
      </c>
      <c r="K44" s="131">
        <v>0</v>
      </c>
      <c r="L44" s="149">
        <v>93900</v>
      </c>
      <c r="M44" s="150">
        <v>425000</v>
      </c>
      <c r="N44" s="151">
        <v>230000</v>
      </c>
      <c r="O44" s="113"/>
    </row>
    <row r="45" spans="1:15" ht="31.5" customHeight="1">
      <c r="A45" s="103"/>
      <c r="B45" s="134" t="s">
        <v>29</v>
      </c>
      <c r="C45" s="158" t="s">
        <v>94</v>
      </c>
      <c r="D45" s="159" t="s">
        <v>166</v>
      </c>
      <c r="E45" s="126" t="s">
        <v>168</v>
      </c>
      <c r="F45" s="126" t="s">
        <v>168</v>
      </c>
      <c r="G45" s="159" t="s">
        <v>20</v>
      </c>
      <c r="H45" s="128" t="s">
        <v>168</v>
      </c>
      <c r="I45" s="129" t="s">
        <v>182</v>
      </c>
      <c r="J45" s="130">
        <f>J46</f>
        <v>0</v>
      </c>
      <c r="K45" s="131">
        <f>K46</f>
        <v>0</v>
      </c>
      <c r="L45" s="131">
        <f>L46</f>
        <v>0</v>
      </c>
      <c r="M45" s="132">
        <f>M46</f>
        <v>30000</v>
      </c>
      <c r="N45" s="133">
        <f>N46</f>
        <v>30000</v>
      </c>
      <c r="O45" s="113"/>
    </row>
    <row r="46" spans="1:15" ht="18.75">
      <c r="A46" s="103"/>
      <c r="B46" s="134" t="s">
        <v>30</v>
      </c>
      <c r="C46" s="158" t="s">
        <v>94</v>
      </c>
      <c r="D46" s="159" t="s">
        <v>166</v>
      </c>
      <c r="E46" s="126" t="s">
        <v>168</v>
      </c>
      <c r="F46" s="126" t="s">
        <v>168</v>
      </c>
      <c r="G46" s="159" t="s">
        <v>20</v>
      </c>
      <c r="H46" s="128" t="s">
        <v>168</v>
      </c>
      <c r="I46" s="129" t="s">
        <v>31</v>
      </c>
      <c r="J46" s="130">
        <v>0</v>
      </c>
      <c r="K46" s="131">
        <v>0</v>
      </c>
      <c r="L46" s="149">
        <v>0</v>
      </c>
      <c r="M46" s="150">
        <v>30000</v>
      </c>
      <c r="N46" s="151">
        <v>30000</v>
      </c>
      <c r="O46" s="113"/>
    </row>
    <row r="47" spans="1:15" ht="18.75">
      <c r="A47" s="103"/>
      <c r="B47" s="134" t="s">
        <v>293</v>
      </c>
      <c r="C47" s="144" t="s">
        <v>94</v>
      </c>
      <c r="D47" s="136" t="s">
        <v>166</v>
      </c>
      <c r="E47" s="126" t="s">
        <v>168</v>
      </c>
      <c r="F47" s="126" t="s">
        <v>168</v>
      </c>
      <c r="G47" s="160" t="s">
        <v>294</v>
      </c>
      <c r="H47" s="128" t="s">
        <v>168</v>
      </c>
      <c r="I47" s="129"/>
      <c r="J47" s="130">
        <f aca="true" t="shared" si="5" ref="J47:N48">J48</f>
        <v>100000</v>
      </c>
      <c r="K47" s="131">
        <f t="shared" si="5"/>
        <v>0</v>
      </c>
      <c r="L47" s="131">
        <f t="shared" si="5"/>
        <v>65000</v>
      </c>
      <c r="M47" s="132">
        <f t="shared" si="5"/>
        <v>100000</v>
      </c>
      <c r="N47" s="133">
        <f t="shared" si="5"/>
        <v>100000</v>
      </c>
      <c r="O47" s="113"/>
    </row>
    <row r="48" spans="1:15" ht="25.5">
      <c r="A48" s="103"/>
      <c r="B48" s="134" t="s">
        <v>73</v>
      </c>
      <c r="C48" s="144" t="s">
        <v>94</v>
      </c>
      <c r="D48" s="136" t="s">
        <v>166</v>
      </c>
      <c r="E48" s="126" t="s">
        <v>168</v>
      </c>
      <c r="F48" s="126" t="s">
        <v>168</v>
      </c>
      <c r="G48" s="160" t="s">
        <v>294</v>
      </c>
      <c r="H48" s="128" t="s">
        <v>168</v>
      </c>
      <c r="I48" s="129" t="s">
        <v>74</v>
      </c>
      <c r="J48" s="130">
        <f t="shared" si="5"/>
        <v>100000</v>
      </c>
      <c r="K48" s="131">
        <f t="shared" si="5"/>
        <v>0</v>
      </c>
      <c r="L48" s="131">
        <f t="shared" si="5"/>
        <v>65000</v>
      </c>
      <c r="M48" s="132">
        <f t="shared" si="5"/>
        <v>100000</v>
      </c>
      <c r="N48" s="133">
        <f t="shared" si="5"/>
        <v>100000</v>
      </c>
      <c r="O48" s="113"/>
    </row>
    <row r="49" spans="1:15" ht="27" customHeight="1">
      <c r="A49" s="103"/>
      <c r="B49" s="134" t="s">
        <v>75</v>
      </c>
      <c r="C49" s="144" t="s">
        <v>94</v>
      </c>
      <c r="D49" s="136" t="s">
        <v>166</v>
      </c>
      <c r="E49" s="126" t="s">
        <v>168</v>
      </c>
      <c r="F49" s="126" t="s">
        <v>168</v>
      </c>
      <c r="G49" s="160" t="s">
        <v>294</v>
      </c>
      <c r="H49" s="128" t="s">
        <v>168</v>
      </c>
      <c r="I49" s="129" t="s">
        <v>76</v>
      </c>
      <c r="J49" s="130">
        <v>100000</v>
      </c>
      <c r="K49" s="131">
        <v>0</v>
      </c>
      <c r="L49" s="131">
        <v>65000</v>
      </c>
      <c r="M49" s="132">
        <v>100000</v>
      </c>
      <c r="N49" s="133">
        <v>100000</v>
      </c>
      <c r="O49" s="113"/>
    </row>
    <row r="50" spans="1:15" ht="11.25" customHeight="1">
      <c r="A50" s="103"/>
      <c r="B50" s="134"/>
      <c r="C50" s="144"/>
      <c r="D50" s="136"/>
      <c r="E50" s="126"/>
      <c r="F50" s="126"/>
      <c r="G50" s="160"/>
      <c r="H50" s="128"/>
      <c r="I50" s="129"/>
      <c r="J50" s="130"/>
      <c r="K50" s="131"/>
      <c r="L50" s="131"/>
      <c r="M50" s="132"/>
      <c r="N50" s="133"/>
      <c r="O50" s="113"/>
    </row>
    <row r="51" spans="1:15" ht="25.5">
      <c r="A51" s="103"/>
      <c r="B51" s="121" t="s">
        <v>297</v>
      </c>
      <c r="C51" s="161" t="s">
        <v>94</v>
      </c>
      <c r="D51" s="162" t="s">
        <v>167</v>
      </c>
      <c r="E51" s="163" t="s">
        <v>168</v>
      </c>
      <c r="F51" s="163" t="s">
        <v>168</v>
      </c>
      <c r="G51" s="162" t="s">
        <v>169</v>
      </c>
      <c r="H51" s="157" t="s">
        <v>168</v>
      </c>
      <c r="I51" s="129"/>
      <c r="J51" s="110">
        <f>J52+J55+J58+J61</f>
        <v>36867254.87</v>
      </c>
      <c r="K51" s="111">
        <f>K52+K55+K58+K61</f>
        <v>0</v>
      </c>
      <c r="L51" s="111">
        <f>L52+L55+L58+L61+L64</f>
        <v>45211673.23</v>
      </c>
      <c r="M51" s="112">
        <f>M52+M55+M58+M61+M64</f>
        <v>46108173.23</v>
      </c>
      <c r="N51" s="119">
        <f>N52+N55+N58+N61+N64</f>
        <v>45550618.16</v>
      </c>
      <c r="O51" s="113"/>
    </row>
    <row r="52" spans="1:15" ht="18.75">
      <c r="A52" s="103"/>
      <c r="B52" s="134" t="s">
        <v>18</v>
      </c>
      <c r="C52" s="152" t="s">
        <v>94</v>
      </c>
      <c r="D52" s="153" t="s">
        <v>167</v>
      </c>
      <c r="E52" s="126" t="s">
        <v>168</v>
      </c>
      <c r="F52" s="126" t="s">
        <v>168</v>
      </c>
      <c r="G52" s="153" t="s">
        <v>20</v>
      </c>
      <c r="H52" s="128" t="s">
        <v>168</v>
      </c>
      <c r="I52" s="143"/>
      <c r="J52" s="130">
        <f aca="true" t="shared" si="6" ref="J52:N53">J53</f>
        <v>500000</v>
      </c>
      <c r="K52" s="131">
        <f t="shared" si="6"/>
        <v>0</v>
      </c>
      <c r="L52" s="131">
        <f t="shared" si="6"/>
        <v>725737.61</v>
      </c>
      <c r="M52" s="132">
        <f t="shared" si="6"/>
        <v>1622237.61</v>
      </c>
      <c r="N52" s="133">
        <f t="shared" si="6"/>
        <v>1406590.91</v>
      </c>
      <c r="O52" s="113"/>
    </row>
    <row r="53" spans="1:15" ht="25.5">
      <c r="A53" s="103"/>
      <c r="B53" s="134" t="s">
        <v>29</v>
      </c>
      <c r="C53" s="124" t="s">
        <v>94</v>
      </c>
      <c r="D53" s="126" t="s">
        <v>167</v>
      </c>
      <c r="E53" s="126" t="s">
        <v>168</v>
      </c>
      <c r="F53" s="126" t="s">
        <v>168</v>
      </c>
      <c r="G53" s="126" t="s">
        <v>20</v>
      </c>
      <c r="H53" s="128" t="s">
        <v>168</v>
      </c>
      <c r="I53" s="137" t="s">
        <v>182</v>
      </c>
      <c r="J53" s="130">
        <f t="shared" si="6"/>
        <v>500000</v>
      </c>
      <c r="K53" s="131">
        <f t="shared" si="6"/>
        <v>0</v>
      </c>
      <c r="L53" s="131">
        <f t="shared" si="6"/>
        <v>725737.61</v>
      </c>
      <c r="M53" s="132">
        <f t="shared" si="6"/>
        <v>1622237.61</v>
      </c>
      <c r="N53" s="133">
        <f t="shared" si="6"/>
        <v>1406590.91</v>
      </c>
      <c r="O53" s="113"/>
    </row>
    <row r="54" spans="1:15" ht="18.75">
      <c r="A54" s="103"/>
      <c r="B54" s="134" t="s">
        <v>30</v>
      </c>
      <c r="C54" s="124" t="s">
        <v>94</v>
      </c>
      <c r="D54" s="126" t="s">
        <v>167</v>
      </c>
      <c r="E54" s="126" t="s">
        <v>168</v>
      </c>
      <c r="F54" s="126" t="s">
        <v>168</v>
      </c>
      <c r="G54" s="126" t="s">
        <v>20</v>
      </c>
      <c r="H54" s="128" t="s">
        <v>168</v>
      </c>
      <c r="I54" s="137" t="s">
        <v>31</v>
      </c>
      <c r="J54" s="130">
        <v>500000</v>
      </c>
      <c r="K54" s="131">
        <v>0</v>
      </c>
      <c r="L54" s="149">
        <v>725737.61</v>
      </c>
      <c r="M54" s="150">
        <v>1622237.61</v>
      </c>
      <c r="N54" s="151">
        <v>1406590.91</v>
      </c>
      <c r="O54" s="113"/>
    </row>
    <row r="55" spans="1:15" ht="18.75">
      <c r="A55" s="103"/>
      <c r="B55" s="134" t="s">
        <v>178</v>
      </c>
      <c r="C55" s="152" t="s">
        <v>94</v>
      </c>
      <c r="D55" s="153" t="s">
        <v>167</v>
      </c>
      <c r="E55" s="126" t="s">
        <v>168</v>
      </c>
      <c r="F55" s="126" t="s">
        <v>168</v>
      </c>
      <c r="G55" s="127" t="s">
        <v>179</v>
      </c>
      <c r="H55" s="128" t="s">
        <v>168</v>
      </c>
      <c r="I55" s="129"/>
      <c r="J55" s="130">
        <f aca="true" t="shared" si="7" ref="J55:N56">J56</f>
        <v>35580000</v>
      </c>
      <c r="K55" s="131">
        <f t="shared" si="7"/>
        <v>0</v>
      </c>
      <c r="L55" s="131">
        <f t="shared" si="7"/>
        <v>43667300</v>
      </c>
      <c r="M55" s="132">
        <f t="shared" si="7"/>
        <v>43667300</v>
      </c>
      <c r="N55" s="133">
        <f t="shared" si="7"/>
        <v>43667300</v>
      </c>
      <c r="O55" s="113"/>
    </row>
    <row r="56" spans="1:15" ht="25.5">
      <c r="A56" s="103"/>
      <c r="B56" s="134" t="s">
        <v>29</v>
      </c>
      <c r="C56" s="152" t="s">
        <v>94</v>
      </c>
      <c r="D56" s="153" t="s">
        <v>167</v>
      </c>
      <c r="E56" s="126" t="s">
        <v>168</v>
      </c>
      <c r="F56" s="126" t="s">
        <v>168</v>
      </c>
      <c r="G56" s="127" t="s">
        <v>179</v>
      </c>
      <c r="H56" s="128" t="s">
        <v>168</v>
      </c>
      <c r="I56" s="129">
        <v>600</v>
      </c>
      <c r="J56" s="130">
        <f t="shared" si="7"/>
        <v>35580000</v>
      </c>
      <c r="K56" s="131">
        <f t="shared" si="7"/>
        <v>0</v>
      </c>
      <c r="L56" s="131">
        <f t="shared" si="7"/>
        <v>43667300</v>
      </c>
      <c r="M56" s="132">
        <f t="shared" si="7"/>
        <v>43667300</v>
      </c>
      <c r="N56" s="133">
        <f t="shared" si="7"/>
        <v>43667300</v>
      </c>
      <c r="O56" s="113"/>
    </row>
    <row r="57" spans="1:15" ht="18.75">
      <c r="A57" s="103"/>
      <c r="B57" s="134" t="s">
        <v>30</v>
      </c>
      <c r="C57" s="152" t="s">
        <v>94</v>
      </c>
      <c r="D57" s="153" t="s">
        <v>167</v>
      </c>
      <c r="E57" s="126" t="s">
        <v>168</v>
      </c>
      <c r="F57" s="126" t="s">
        <v>168</v>
      </c>
      <c r="G57" s="127" t="s">
        <v>179</v>
      </c>
      <c r="H57" s="128" t="s">
        <v>168</v>
      </c>
      <c r="I57" s="129" t="s">
        <v>31</v>
      </c>
      <c r="J57" s="130">
        <v>35580000</v>
      </c>
      <c r="K57" s="131">
        <v>0</v>
      </c>
      <c r="L57" s="138">
        <v>43667300</v>
      </c>
      <c r="M57" s="139">
        <v>43667300</v>
      </c>
      <c r="N57" s="140">
        <v>43667300</v>
      </c>
      <c r="O57" s="113"/>
    </row>
    <row r="58" spans="1:15" ht="38.25">
      <c r="A58" s="103"/>
      <c r="B58" s="123" t="s">
        <v>381</v>
      </c>
      <c r="C58" s="152" t="s">
        <v>94</v>
      </c>
      <c r="D58" s="153" t="s">
        <v>167</v>
      </c>
      <c r="E58" s="126" t="s">
        <v>168</v>
      </c>
      <c r="F58" s="126" t="s">
        <v>168</v>
      </c>
      <c r="G58" s="127" t="s">
        <v>287</v>
      </c>
      <c r="H58" s="128" t="s">
        <v>168</v>
      </c>
      <c r="I58" s="129"/>
      <c r="J58" s="130">
        <f aca="true" t="shared" si="8" ref="J58:N59">J59</f>
        <v>390000</v>
      </c>
      <c r="K58" s="131">
        <f t="shared" si="8"/>
        <v>0</v>
      </c>
      <c r="L58" s="131">
        <f t="shared" si="8"/>
        <v>390000</v>
      </c>
      <c r="M58" s="132">
        <f t="shared" si="8"/>
        <v>390000</v>
      </c>
      <c r="N58" s="133">
        <f t="shared" si="8"/>
        <v>390000</v>
      </c>
      <c r="O58" s="113"/>
    </row>
    <row r="59" spans="1:15" ht="25.5">
      <c r="A59" s="103"/>
      <c r="B59" s="134" t="s">
        <v>29</v>
      </c>
      <c r="C59" s="152" t="s">
        <v>94</v>
      </c>
      <c r="D59" s="153" t="s">
        <v>167</v>
      </c>
      <c r="E59" s="126" t="s">
        <v>168</v>
      </c>
      <c r="F59" s="126" t="s">
        <v>168</v>
      </c>
      <c r="G59" s="127" t="s">
        <v>287</v>
      </c>
      <c r="H59" s="128" t="s">
        <v>168</v>
      </c>
      <c r="I59" s="129">
        <v>600</v>
      </c>
      <c r="J59" s="130">
        <f t="shared" si="8"/>
        <v>390000</v>
      </c>
      <c r="K59" s="131">
        <f t="shared" si="8"/>
        <v>0</v>
      </c>
      <c r="L59" s="131">
        <f t="shared" si="8"/>
        <v>390000</v>
      </c>
      <c r="M59" s="132">
        <f t="shared" si="8"/>
        <v>390000</v>
      </c>
      <c r="N59" s="133">
        <f t="shared" si="8"/>
        <v>390000</v>
      </c>
      <c r="O59" s="113"/>
    </row>
    <row r="60" spans="1:15" ht="18.75">
      <c r="A60" s="103"/>
      <c r="B60" s="134" t="s">
        <v>30</v>
      </c>
      <c r="C60" s="152" t="s">
        <v>94</v>
      </c>
      <c r="D60" s="153" t="s">
        <v>167</v>
      </c>
      <c r="E60" s="126" t="s">
        <v>168</v>
      </c>
      <c r="F60" s="126" t="s">
        <v>168</v>
      </c>
      <c r="G60" s="127" t="s">
        <v>287</v>
      </c>
      <c r="H60" s="128" t="s">
        <v>168</v>
      </c>
      <c r="I60" s="129" t="s">
        <v>31</v>
      </c>
      <c r="J60" s="130">
        <v>390000</v>
      </c>
      <c r="K60" s="131">
        <v>0</v>
      </c>
      <c r="L60" s="131">
        <v>390000</v>
      </c>
      <c r="M60" s="132">
        <v>390000</v>
      </c>
      <c r="N60" s="133">
        <v>390000</v>
      </c>
      <c r="O60" s="113"/>
    </row>
    <row r="61" spans="1:15" ht="38.25">
      <c r="A61" s="103"/>
      <c r="B61" s="155" t="s">
        <v>314</v>
      </c>
      <c r="C61" s="152" t="s">
        <v>94</v>
      </c>
      <c r="D61" s="153" t="s">
        <v>167</v>
      </c>
      <c r="E61" s="126" t="s">
        <v>168</v>
      </c>
      <c r="F61" s="126" t="s">
        <v>168</v>
      </c>
      <c r="G61" s="127" t="s">
        <v>295</v>
      </c>
      <c r="H61" s="128" t="s">
        <v>313</v>
      </c>
      <c r="I61" s="129"/>
      <c r="J61" s="130">
        <f aca="true" t="shared" si="9" ref="J61:N62">J62</f>
        <v>397254.87</v>
      </c>
      <c r="K61" s="131">
        <f t="shared" si="9"/>
        <v>0</v>
      </c>
      <c r="L61" s="131">
        <f t="shared" si="9"/>
        <v>341908.37</v>
      </c>
      <c r="M61" s="132">
        <f t="shared" si="9"/>
        <v>341908.37</v>
      </c>
      <c r="N61" s="133">
        <f t="shared" si="9"/>
        <v>0</v>
      </c>
      <c r="O61" s="113"/>
    </row>
    <row r="62" spans="1:15" ht="25.5">
      <c r="A62" s="103"/>
      <c r="B62" s="134" t="s">
        <v>29</v>
      </c>
      <c r="C62" s="152" t="s">
        <v>94</v>
      </c>
      <c r="D62" s="153" t="s">
        <v>167</v>
      </c>
      <c r="E62" s="126" t="s">
        <v>168</v>
      </c>
      <c r="F62" s="126" t="s">
        <v>168</v>
      </c>
      <c r="G62" s="127" t="s">
        <v>295</v>
      </c>
      <c r="H62" s="128" t="s">
        <v>313</v>
      </c>
      <c r="I62" s="129">
        <v>600</v>
      </c>
      <c r="J62" s="130">
        <f t="shared" si="9"/>
        <v>397254.87</v>
      </c>
      <c r="K62" s="131">
        <f t="shared" si="9"/>
        <v>0</v>
      </c>
      <c r="L62" s="131">
        <f t="shared" si="9"/>
        <v>341908.37</v>
      </c>
      <c r="M62" s="132">
        <f t="shared" si="9"/>
        <v>341908.37</v>
      </c>
      <c r="N62" s="133">
        <f t="shared" si="9"/>
        <v>0</v>
      </c>
      <c r="O62" s="113"/>
    </row>
    <row r="63" spans="1:15" ht="18.75">
      <c r="A63" s="103"/>
      <c r="B63" s="134" t="s">
        <v>30</v>
      </c>
      <c r="C63" s="152" t="s">
        <v>94</v>
      </c>
      <c r="D63" s="153" t="s">
        <v>167</v>
      </c>
      <c r="E63" s="126" t="s">
        <v>168</v>
      </c>
      <c r="F63" s="126" t="s">
        <v>168</v>
      </c>
      <c r="G63" s="127" t="s">
        <v>295</v>
      </c>
      <c r="H63" s="128" t="s">
        <v>313</v>
      </c>
      <c r="I63" s="129" t="s">
        <v>31</v>
      </c>
      <c r="J63" s="130">
        <v>397254.87</v>
      </c>
      <c r="K63" s="131">
        <v>0</v>
      </c>
      <c r="L63" s="138">
        <f>341908.37</f>
        <v>341908.37</v>
      </c>
      <c r="M63" s="139">
        <f>341908.37</f>
        <v>341908.37</v>
      </c>
      <c r="N63" s="140"/>
      <c r="O63" s="113"/>
    </row>
    <row r="64" spans="1:15" ht="38.25">
      <c r="A64" s="103"/>
      <c r="B64" s="134" t="s">
        <v>335</v>
      </c>
      <c r="C64" s="152" t="s">
        <v>94</v>
      </c>
      <c r="D64" s="153" t="s">
        <v>167</v>
      </c>
      <c r="E64" s="126" t="s">
        <v>168</v>
      </c>
      <c r="F64" s="126" t="s">
        <v>168</v>
      </c>
      <c r="G64" s="153" t="s">
        <v>340</v>
      </c>
      <c r="H64" s="128" t="s">
        <v>168</v>
      </c>
      <c r="I64" s="143"/>
      <c r="J64" s="130"/>
      <c r="K64" s="131"/>
      <c r="L64" s="131">
        <f aca="true" t="shared" si="10" ref="L64:N65">L65</f>
        <v>86727.25</v>
      </c>
      <c r="M64" s="132">
        <f t="shared" si="10"/>
        <v>86727.25</v>
      </c>
      <c r="N64" s="133">
        <f t="shared" si="10"/>
        <v>86727.25</v>
      </c>
      <c r="O64" s="113"/>
    </row>
    <row r="65" spans="1:15" ht="25.5">
      <c r="A65" s="103"/>
      <c r="B65" s="134" t="s">
        <v>29</v>
      </c>
      <c r="C65" s="124" t="s">
        <v>94</v>
      </c>
      <c r="D65" s="126" t="s">
        <v>167</v>
      </c>
      <c r="E65" s="126" t="s">
        <v>168</v>
      </c>
      <c r="F65" s="126" t="s">
        <v>168</v>
      </c>
      <c r="G65" s="126" t="s">
        <v>340</v>
      </c>
      <c r="H65" s="128" t="s">
        <v>168</v>
      </c>
      <c r="I65" s="137" t="s">
        <v>182</v>
      </c>
      <c r="J65" s="130"/>
      <c r="K65" s="131"/>
      <c r="L65" s="131">
        <f t="shared" si="10"/>
        <v>86727.25</v>
      </c>
      <c r="M65" s="132">
        <f t="shared" si="10"/>
        <v>86727.25</v>
      </c>
      <c r="N65" s="133">
        <f t="shared" si="10"/>
        <v>86727.25</v>
      </c>
      <c r="O65" s="113"/>
    </row>
    <row r="66" spans="1:15" ht="15" customHeight="1">
      <c r="A66" s="103"/>
      <c r="B66" s="134" t="s">
        <v>30</v>
      </c>
      <c r="C66" s="124" t="s">
        <v>94</v>
      </c>
      <c r="D66" s="126" t="s">
        <v>167</v>
      </c>
      <c r="E66" s="126" t="s">
        <v>168</v>
      </c>
      <c r="F66" s="126" t="s">
        <v>168</v>
      </c>
      <c r="G66" s="126" t="s">
        <v>340</v>
      </c>
      <c r="H66" s="128" t="s">
        <v>168</v>
      </c>
      <c r="I66" s="137" t="s">
        <v>31</v>
      </c>
      <c r="J66" s="130"/>
      <c r="K66" s="131"/>
      <c r="L66" s="138">
        <v>86727.25</v>
      </c>
      <c r="M66" s="139">
        <v>86727.25</v>
      </c>
      <c r="N66" s="140">
        <v>86727.25</v>
      </c>
      <c r="O66" s="113"/>
    </row>
    <row r="67" spans="1:15" ht="1.5" customHeight="1">
      <c r="A67" s="103"/>
      <c r="B67" s="134"/>
      <c r="C67" s="152"/>
      <c r="D67" s="153"/>
      <c r="E67" s="126"/>
      <c r="F67" s="126"/>
      <c r="G67" s="127"/>
      <c r="H67" s="128"/>
      <c r="I67" s="129"/>
      <c r="J67" s="130"/>
      <c r="K67" s="131"/>
      <c r="L67" s="131"/>
      <c r="M67" s="132"/>
      <c r="N67" s="133"/>
      <c r="O67" s="113"/>
    </row>
    <row r="68" spans="1:15" ht="6.75" customHeight="1">
      <c r="A68" s="103"/>
      <c r="B68" s="164"/>
      <c r="C68" s="165"/>
      <c r="D68" s="166"/>
      <c r="E68" s="166"/>
      <c r="F68" s="166"/>
      <c r="G68" s="166"/>
      <c r="H68" s="167"/>
      <c r="I68" s="168"/>
      <c r="J68" s="169"/>
      <c r="K68" s="170"/>
      <c r="L68" s="170"/>
      <c r="M68" s="171"/>
      <c r="N68" s="172"/>
      <c r="O68" s="113"/>
    </row>
    <row r="69" spans="1:15" ht="72.75" customHeight="1">
      <c r="A69" s="103"/>
      <c r="B69" s="173" t="s">
        <v>373</v>
      </c>
      <c r="C69" s="174" t="s">
        <v>101</v>
      </c>
      <c r="D69" s="175" t="s">
        <v>168</v>
      </c>
      <c r="E69" s="175" t="s">
        <v>168</v>
      </c>
      <c r="F69" s="175" t="s">
        <v>168</v>
      </c>
      <c r="G69" s="175" t="s">
        <v>169</v>
      </c>
      <c r="H69" s="176" t="s">
        <v>168</v>
      </c>
      <c r="I69" s="177"/>
      <c r="J69" s="178">
        <f>J79</f>
        <v>5839248.8</v>
      </c>
      <c r="K69" s="179">
        <f>K79</f>
        <v>2614224.19</v>
      </c>
      <c r="L69" s="179">
        <f>L79</f>
        <v>6156000</v>
      </c>
      <c r="M69" s="180">
        <f>M79</f>
        <v>8225929.36</v>
      </c>
      <c r="N69" s="181">
        <f>N79</f>
        <v>7376305.62</v>
      </c>
      <c r="O69" s="113"/>
    </row>
    <row r="70" spans="1:15" ht="39.75" customHeight="1" hidden="1">
      <c r="A70" s="103"/>
      <c r="B70" s="123" t="s">
        <v>67</v>
      </c>
      <c r="C70" s="144" t="s">
        <v>101</v>
      </c>
      <c r="D70" s="136" t="s">
        <v>168</v>
      </c>
      <c r="E70" s="126" t="s">
        <v>168</v>
      </c>
      <c r="F70" s="126" t="s">
        <v>168</v>
      </c>
      <c r="G70" s="136" t="s">
        <v>24</v>
      </c>
      <c r="H70" s="128" t="s">
        <v>168</v>
      </c>
      <c r="I70" s="137"/>
      <c r="J70" s="145" t="e">
        <f aca="true" t="shared" si="11" ref="J70:N71">J71</f>
        <v>#REF!</v>
      </c>
      <c r="K70" s="146" t="e">
        <f t="shared" si="11"/>
        <v>#REF!</v>
      </c>
      <c r="L70" s="146" t="e">
        <f t="shared" si="11"/>
        <v>#REF!</v>
      </c>
      <c r="M70" s="147" t="e">
        <f t="shared" si="11"/>
        <v>#REF!</v>
      </c>
      <c r="N70" s="148" t="e">
        <f t="shared" si="11"/>
        <v>#REF!</v>
      </c>
      <c r="O70" s="113"/>
    </row>
    <row r="71" spans="1:15" ht="40.5" customHeight="1" hidden="1">
      <c r="A71" s="103"/>
      <c r="B71" s="134" t="s">
        <v>73</v>
      </c>
      <c r="C71" s="144" t="s">
        <v>101</v>
      </c>
      <c r="D71" s="136" t="s">
        <v>168</v>
      </c>
      <c r="E71" s="126" t="s">
        <v>168</v>
      </c>
      <c r="F71" s="126" t="s">
        <v>168</v>
      </c>
      <c r="G71" s="136" t="s">
        <v>24</v>
      </c>
      <c r="H71" s="128" t="s">
        <v>168</v>
      </c>
      <c r="I71" s="137">
        <v>200</v>
      </c>
      <c r="J71" s="145" t="e">
        <f t="shared" si="11"/>
        <v>#REF!</v>
      </c>
      <c r="K71" s="146" t="e">
        <f t="shared" si="11"/>
        <v>#REF!</v>
      </c>
      <c r="L71" s="146" t="e">
        <f t="shared" si="11"/>
        <v>#REF!</v>
      </c>
      <c r="M71" s="147" t="e">
        <f t="shared" si="11"/>
        <v>#REF!</v>
      </c>
      <c r="N71" s="148" t="e">
        <f t="shared" si="11"/>
        <v>#REF!</v>
      </c>
      <c r="O71" s="113"/>
    </row>
    <row r="72" spans="1:15" ht="26.25" customHeight="1" hidden="1">
      <c r="A72" s="103"/>
      <c r="B72" s="134" t="s">
        <v>75</v>
      </c>
      <c r="C72" s="144" t="s">
        <v>101</v>
      </c>
      <c r="D72" s="136" t="s">
        <v>168</v>
      </c>
      <c r="E72" s="126" t="s">
        <v>168</v>
      </c>
      <c r="F72" s="126" t="s">
        <v>168</v>
      </c>
      <c r="G72" s="136" t="s">
        <v>24</v>
      </c>
      <c r="H72" s="128" t="s">
        <v>168</v>
      </c>
      <c r="I72" s="137">
        <v>240</v>
      </c>
      <c r="J72" s="145" t="e">
        <f>#REF!+#REF!</f>
        <v>#REF!</v>
      </c>
      <c r="K72" s="146" t="e">
        <f>#REF!+#REF!</f>
        <v>#REF!</v>
      </c>
      <c r="L72" s="146" t="e">
        <f>#REF!+#REF!</f>
        <v>#REF!</v>
      </c>
      <c r="M72" s="147" t="e">
        <f>#REF!+#REF!</f>
        <v>#REF!</v>
      </c>
      <c r="N72" s="148" t="e">
        <f>#REF!+#REF!</f>
        <v>#REF!</v>
      </c>
      <c r="O72" s="113"/>
    </row>
    <row r="73" spans="1:15" ht="26.25" customHeight="1" hidden="1">
      <c r="A73" s="103"/>
      <c r="B73" s="123" t="s">
        <v>226</v>
      </c>
      <c r="C73" s="182" t="s">
        <v>101</v>
      </c>
      <c r="D73" s="125" t="s">
        <v>168</v>
      </c>
      <c r="E73" s="126" t="s">
        <v>168</v>
      </c>
      <c r="F73" s="126" t="s">
        <v>168</v>
      </c>
      <c r="G73" s="127" t="s">
        <v>227</v>
      </c>
      <c r="H73" s="183" t="s">
        <v>168</v>
      </c>
      <c r="I73" s="184"/>
      <c r="J73" s="145" t="e">
        <f aca="true" t="shared" si="12" ref="J73:N74">J74</f>
        <v>#REF!</v>
      </c>
      <c r="K73" s="146" t="e">
        <f t="shared" si="12"/>
        <v>#REF!</v>
      </c>
      <c r="L73" s="146" t="e">
        <f t="shared" si="12"/>
        <v>#REF!</v>
      </c>
      <c r="M73" s="147" t="e">
        <f t="shared" si="12"/>
        <v>#REF!</v>
      </c>
      <c r="N73" s="148" t="e">
        <f t="shared" si="12"/>
        <v>#REF!</v>
      </c>
      <c r="O73" s="113"/>
    </row>
    <row r="74" spans="1:15" ht="26.25" customHeight="1" hidden="1">
      <c r="A74" s="103"/>
      <c r="B74" s="134" t="s">
        <v>73</v>
      </c>
      <c r="C74" s="182" t="s">
        <v>101</v>
      </c>
      <c r="D74" s="125" t="s">
        <v>168</v>
      </c>
      <c r="E74" s="126" t="s">
        <v>168</v>
      </c>
      <c r="F74" s="126" t="s">
        <v>168</v>
      </c>
      <c r="G74" s="127" t="s">
        <v>227</v>
      </c>
      <c r="H74" s="183" t="s">
        <v>168</v>
      </c>
      <c r="I74" s="184" t="s">
        <v>74</v>
      </c>
      <c r="J74" s="145" t="e">
        <f t="shared" si="12"/>
        <v>#REF!</v>
      </c>
      <c r="K74" s="146" t="e">
        <f t="shared" si="12"/>
        <v>#REF!</v>
      </c>
      <c r="L74" s="146" t="e">
        <f t="shared" si="12"/>
        <v>#REF!</v>
      </c>
      <c r="M74" s="147" t="e">
        <f t="shared" si="12"/>
        <v>#REF!</v>
      </c>
      <c r="N74" s="148" t="e">
        <f t="shared" si="12"/>
        <v>#REF!</v>
      </c>
      <c r="O74" s="113"/>
    </row>
    <row r="75" spans="1:15" ht="26.25" customHeight="1" hidden="1">
      <c r="A75" s="103"/>
      <c r="B75" s="134" t="s">
        <v>75</v>
      </c>
      <c r="C75" s="182" t="s">
        <v>101</v>
      </c>
      <c r="D75" s="125" t="s">
        <v>168</v>
      </c>
      <c r="E75" s="126" t="s">
        <v>168</v>
      </c>
      <c r="F75" s="126" t="s">
        <v>168</v>
      </c>
      <c r="G75" s="127" t="s">
        <v>227</v>
      </c>
      <c r="H75" s="183" t="s">
        <v>168</v>
      </c>
      <c r="I75" s="184" t="s">
        <v>76</v>
      </c>
      <c r="J75" s="145" t="e">
        <f>#REF!+#REF!</f>
        <v>#REF!</v>
      </c>
      <c r="K75" s="146" t="e">
        <f>#REF!+#REF!</f>
        <v>#REF!</v>
      </c>
      <c r="L75" s="146" t="e">
        <f>#REF!+#REF!</f>
        <v>#REF!</v>
      </c>
      <c r="M75" s="147" t="e">
        <f>#REF!+#REF!</f>
        <v>#REF!</v>
      </c>
      <c r="N75" s="148" t="e">
        <f>#REF!+#REF!</f>
        <v>#REF!</v>
      </c>
      <c r="O75" s="113"/>
    </row>
    <row r="76" spans="1:15" ht="31.5" customHeight="1" hidden="1">
      <c r="A76" s="103"/>
      <c r="B76" s="185" t="s">
        <v>207</v>
      </c>
      <c r="C76" s="182" t="s">
        <v>101</v>
      </c>
      <c r="D76" s="125" t="s">
        <v>168</v>
      </c>
      <c r="E76" s="126" t="s">
        <v>168</v>
      </c>
      <c r="F76" s="126" t="s">
        <v>168</v>
      </c>
      <c r="G76" s="127" t="s">
        <v>206</v>
      </c>
      <c r="H76" s="128" t="s">
        <v>168</v>
      </c>
      <c r="I76" s="184"/>
      <c r="J76" s="145" t="e">
        <f aca="true" t="shared" si="13" ref="J76:N77">J77</f>
        <v>#REF!</v>
      </c>
      <c r="K76" s="146" t="e">
        <f t="shared" si="13"/>
        <v>#REF!</v>
      </c>
      <c r="L76" s="146" t="e">
        <f t="shared" si="13"/>
        <v>#REF!</v>
      </c>
      <c r="M76" s="147" t="e">
        <f t="shared" si="13"/>
        <v>#REF!</v>
      </c>
      <c r="N76" s="148" t="e">
        <f t="shared" si="13"/>
        <v>#REF!</v>
      </c>
      <c r="O76" s="113"/>
    </row>
    <row r="77" spans="1:15" ht="30" customHeight="1" hidden="1">
      <c r="A77" s="103"/>
      <c r="B77" s="134" t="s">
        <v>73</v>
      </c>
      <c r="C77" s="182" t="s">
        <v>101</v>
      </c>
      <c r="D77" s="125" t="s">
        <v>168</v>
      </c>
      <c r="E77" s="126" t="s">
        <v>168</v>
      </c>
      <c r="F77" s="126" t="s">
        <v>168</v>
      </c>
      <c r="G77" s="127" t="s">
        <v>206</v>
      </c>
      <c r="H77" s="183" t="s">
        <v>168</v>
      </c>
      <c r="I77" s="184" t="s">
        <v>74</v>
      </c>
      <c r="J77" s="145" t="e">
        <f t="shared" si="13"/>
        <v>#REF!</v>
      </c>
      <c r="K77" s="146" t="e">
        <f t="shared" si="13"/>
        <v>#REF!</v>
      </c>
      <c r="L77" s="146" t="e">
        <f t="shared" si="13"/>
        <v>#REF!</v>
      </c>
      <c r="M77" s="147" t="e">
        <f t="shared" si="13"/>
        <v>#REF!</v>
      </c>
      <c r="N77" s="148" t="e">
        <f t="shared" si="13"/>
        <v>#REF!</v>
      </c>
      <c r="O77" s="113"/>
    </row>
    <row r="78" spans="1:15" ht="30.75" customHeight="1" hidden="1">
      <c r="A78" s="103"/>
      <c r="B78" s="134" t="s">
        <v>75</v>
      </c>
      <c r="C78" s="182" t="s">
        <v>101</v>
      </c>
      <c r="D78" s="125" t="s">
        <v>168</v>
      </c>
      <c r="E78" s="126" t="s">
        <v>168</v>
      </c>
      <c r="F78" s="126" t="s">
        <v>168</v>
      </c>
      <c r="G78" s="127" t="s">
        <v>206</v>
      </c>
      <c r="H78" s="183" t="s">
        <v>168</v>
      </c>
      <c r="I78" s="184" t="s">
        <v>76</v>
      </c>
      <c r="J78" s="145" t="e">
        <f>#REF!+#REF!</f>
        <v>#REF!</v>
      </c>
      <c r="K78" s="146" t="e">
        <f>#REF!+#REF!</f>
        <v>#REF!</v>
      </c>
      <c r="L78" s="146" t="e">
        <f>#REF!+#REF!</f>
        <v>#REF!</v>
      </c>
      <c r="M78" s="147" t="e">
        <f>#REF!+#REF!</f>
        <v>#REF!</v>
      </c>
      <c r="N78" s="148" t="e">
        <f>#REF!+#REF!</f>
        <v>#REF!</v>
      </c>
      <c r="O78" s="113"/>
    </row>
    <row r="79" spans="1:15" ht="45" customHeight="1">
      <c r="A79" s="103"/>
      <c r="B79" s="155" t="s">
        <v>383</v>
      </c>
      <c r="C79" s="182" t="s">
        <v>101</v>
      </c>
      <c r="D79" s="125" t="s">
        <v>170</v>
      </c>
      <c r="E79" s="126" t="s">
        <v>168</v>
      </c>
      <c r="F79" s="126" t="s">
        <v>168</v>
      </c>
      <c r="G79" s="127" t="s">
        <v>169</v>
      </c>
      <c r="H79" s="183" t="s">
        <v>168</v>
      </c>
      <c r="I79" s="184"/>
      <c r="J79" s="145">
        <f>J83+J86+J80</f>
        <v>5839248.8</v>
      </c>
      <c r="K79" s="146">
        <f>K83+K86+K80</f>
        <v>2614224.19</v>
      </c>
      <c r="L79" s="146">
        <f>L83+L86+L80</f>
        <v>6156000</v>
      </c>
      <c r="M79" s="147">
        <f>M83+M86+M80</f>
        <v>8225929.36</v>
      </c>
      <c r="N79" s="148">
        <f>N83+N86+N80</f>
        <v>7376305.62</v>
      </c>
      <c r="O79" s="113"/>
    </row>
    <row r="80" spans="1:15" ht="33" customHeight="1">
      <c r="A80" s="103"/>
      <c r="B80" s="123" t="s">
        <v>67</v>
      </c>
      <c r="C80" s="144" t="s">
        <v>101</v>
      </c>
      <c r="D80" s="136" t="s">
        <v>170</v>
      </c>
      <c r="E80" s="126" t="s">
        <v>168</v>
      </c>
      <c r="F80" s="126" t="s">
        <v>168</v>
      </c>
      <c r="G80" s="136" t="s">
        <v>24</v>
      </c>
      <c r="H80" s="128" t="s">
        <v>168</v>
      </c>
      <c r="I80" s="137"/>
      <c r="J80" s="145">
        <f aca="true" t="shared" si="14" ref="J80:N81">J81</f>
        <v>600000</v>
      </c>
      <c r="K80" s="146">
        <f t="shared" si="14"/>
        <v>0</v>
      </c>
      <c r="L80" s="146">
        <f t="shared" si="14"/>
        <v>600000</v>
      </c>
      <c r="M80" s="147">
        <f t="shared" si="14"/>
        <v>600000</v>
      </c>
      <c r="N80" s="148">
        <f t="shared" si="14"/>
        <v>600000</v>
      </c>
      <c r="O80" s="113"/>
    </row>
    <row r="81" spans="1:15" ht="34.5" customHeight="1">
      <c r="A81" s="103"/>
      <c r="B81" s="134" t="s">
        <v>73</v>
      </c>
      <c r="C81" s="144" t="s">
        <v>101</v>
      </c>
      <c r="D81" s="136" t="s">
        <v>170</v>
      </c>
      <c r="E81" s="126" t="s">
        <v>168</v>
      </c>
      <c r="F81" s="126" t="s">
        <v>168</v>
      </c>
      <c r="G81" s="136" t="s">
        <v>24</v>
      </c>
      <c r="H81" s="128" t="s">
        <v>168</v>
      </c>
      <c r="I81" s="137">
        <v>200</v>
      </c>
      <c r="J81" s="145">
        <f t="shared" si="14"/>
        <v>600000</v>
      </c>
      <c r="K81" s="146">
        <f t="shared" si="14"/>
        <v>0</v>
      </c>
      <c r="L81" s="146">
        <f t="shared" si="14"/>
        <v>600000</v>
      </c>
      <c r="M81" s="147">
        <f t="shared" si="14"/>
        <v>600000</v>
      </c>
      <c r="N81" s="148">
        <f t="shared" si="14"/>
        <v>600000</v>
      </c>
      <c r="O81" s="113"/>
    </row>
    <row r="82" spans="1:15" ht="33" customHeight="1">
      <c r="A82" s="103"/>
      <c r="B82" s="134" t="s">
        <v>75</v>
      </c>
      <c r="C82" s="144" t="s">
        <v>101</v>
      </c>
      <c r="D82" s="136" t="s">
        <v>170</v>
      </c>
      <c r="E82" s="126" t="s">
        <v>168</v>
      </c>
      <c r="F82" s="126" t="s">
        <v>168</v>
      </c>
      <c r="G82" s="136" t="s">
        <v>24</v>
      </c>
      <c r="H82" s="128" t="s">
        <v>168</v>
      </c>
      <c r="I82" s="137">
        <v>240</v>
      </c>
      <c r="J82" s="145">
        <v>600000</v>
      </c>
      <c r="K82" s="146">
        <v>0</v>
      </c>
      <c r="L82" s="138">
        <v>600000</v>
      </c>
      <c r="M82" s="139">
        <v>600000</v>
      </c>
      <c r="N82" s="140">
        <v>600000</v>
      </c>
      <c r="O82" s="113"/>
    </row>
    <row r="83" spans="1:15" ht="17.25" customHeight="1">
      <c r="A83" s="103"/>
      <c r="B83" s="123" t="s">
        <v>226</v>
      </c>
      <c r="C83" s="182" t="s">
        <v>101</v>
      </c>
      <c r="D83" s="125" t="s">
        <v>170</v>
      </c>
      <c r="E83" s="126" t="s">
        <v>168</v>
      </c>
      <c r="F83" s="126" t="s">
        <v>168</v>
      </c>
      <c r="G83" s="127" t="s">
        <v>227</v>
      </c>
      <c r="H83" s="183" t="s">
        <v>168</v>
      </c>
      <c r="I83" s="184"/>
      <c r="J83" s="145">
        <f aca="true" t="shared" si="15" ref="J83:N84">J84</f>
        <v>539248.8</v>
      </c>
      <c r="K83" s="146">
        <f t="shared" si="15"/>
        <v>2614224.19</v>
      </c>
      <c r="L83" s="146">
        <f t="shared" si="15"/>
        <v>0</v>
      </c>
      <c r="M83" s="147">
        <f t="shared" si="15"/>
        <v>2069929.36</v>
      </c>
      <c r="N83" s="148">
        <f t="shared" si="15"/>
        <v>1220305.62</v>
      </c>
      <c r="O83" s="113"/>
    </row>
    <row r="84" spans="1:15" ht="30.75" customHeight="1">
      <c r="A84" s="103"/>
      <c r="B84" s="134" t="s">
        <v>73</v>
      </c>
      <c r="C84" s="182" t="s">
        <v>101</v>
      </c>
      <c r="D84" s="125" t="s">
        <v>170</v>
      </c>
      <c r="E84" s="126" t="s">
        <v>168</v>
      </c>
      <c r="F84" s="126" t="s">
        <v>168</v>
      </c>
      <c r="G84" s="127" t="s">
        <v>227</v>
      </c>
      <c r="H84" s="183" t="s">
        <v>168</v>
      </c>
      <c r="I84" s="184" t="s">
        <v>74</v>
      </c>
      <c r="J84" s="145">
        <f t="shared" si="15"/>
        <v>539248.8</v>
      </c>
      <c r="K84" s="146">
        <f t="shared" si="15"/>
        <v>2614224.19</v>
      </c>
      <c r="L84" s="146">
        <f t="shared" si="15"/>
        <v>0</v>
      </c>
      <c r="M84" s="147">
        <f t="shared" si="15"/>
        <v>2069929.36</v>
      </c>
      <c r="N84" s="148">
        <f t="shared" si="15"/>
        <v>1220305.62</v>
      </c>
      <c r="O84" s="113"/>
    </row>
    <row r="85" spans="1:15" ht="30.75" customHeight="1">
      <c r="A85" s="103"/>
      <c r="B85" s="134" t="s">
        <v>75</v>
      </c>
      <c r="C85" s="182" t="s">
        <v>101</v>
      </c>
      <c r="D85" s="125" t="s">
        <v>170</v>
      </c>
      <c r="E85" s="126" t="s">
        <v>168</v>
      </c>
      <c r="F85" s="126" t="s">
        <v>168</v>
      </c>
      <c r="G85" s="127" t="s">
        <v>227</v>
      </c>
      <c r="H85" s="183" t="s">
        <v>168</v>
      </c>
      <c r="I85" s="184" t="s">
        <v>76</v>
      </c>
      <c r="J85" s="145">
        <v>539248.8</v>
      </c>
      <c r="K85" s="146">
        <v>2614224.19</v>
      </c>
      <c r="L85" s="186">
        <v>0</v>
      </c>
      <c r="M85" s="187">
        <v>2069929.36</v>
      </c>
      <c r="N85" s="188">
        <v>1220305.62</v>
      </c>
      <c r="O85" s="113"/>
    </row>
    <row r="86" spans="1:15" ht="30.75" customHeight="1">
      <c r="A86" s="103"/>
      <c r="B86" s="185" t="s">
        <v>207</v>
      </c>
      <c r="C86" s="182" t="s">
        <v>101</v>
      </c>
      <c r="D86" s="125" t="s">
        <v>170</v>
      </c>
      <c r="E86" s="126" t="s">
        <v>168</v>
      </c>
      <c r="F86" s="126" t="s">
        <v>168</v>
      </c>
      <c r="G86" s="127" t="s">
        <v>206</v>
      </c>
      <c r="H86" s="128" t="s">
        <v>168</v>
      </c>
      <c r="I86" s="184"/>
      <c r="J86" s="145">
        <f aca="true" t="shared" si="16" ref="J86:N87">J87</f>
        <v>4700000</v>
      </c>
      <c r="K86" s="146">
        <f t="shared" si="16"/>
        <v>0</v>
      </c>
      <c r="L86" s="146">
        <f t="shared" si="16"/>
        <v>5556000</v>
      </c>
      <c r="M86" s="147">
        <f t="shared" si="16"/>
        <v>5556000</v>
      </c>
      <c r="N86" s="148">
        <f t="shared" si="16"/>
        <v>5556000</v>
      </c>
      <c r="O86" s="113"/>
    </row>
    <row r="87" spans="1:15" ht="30.75" customHeight="1">
      <c r="A87" s="103"/>
      <c r="B87" s="134" t="s">
        <v>73</v>
      </c>
      <c r="C87" s="182" t="s">
        <v>101</v>
      </c>
      <c r="D87" s="125" t="s">
        <v>170</v>
      </c>
      <c r="E87" s="126" t="s">
        <v>168</v>
      </c>
      <c r="F87" s="126" t="s">
        <v>168</v>
      </c>
      <c r="G87" s="127" t="s">
        <v>206</v>
      </c>
      <c r="H87" s="183" t="s">
        <v>168</v>
      </c>
      <c r="I87" s="184" t="s">
        <v>74</v>
      </c>
      <c r="J87" s="145">
        <f t="shared" si="16"/>
        <v>4700000</v>
      </c>
      <c r="K87" s="146">
        <f t="shared" si="16"/>
        <v>0</v>
      </c>
      <c r="L87" s="146">
        <f t="shared" si="16"/>
        <v>5556000</v>
      </c>
      <c r="M87" s="147">
        <f t="shared" si="16"/>
        <v>5556000</v>
      </c>
      <c r="N87" s="148">
        <f t="shared" si="16"/>
        <v>5556000</v>
      </c>
      <c r="O87" s="113"/>
    </row>
    <row r="88" spans="1:15" ht="30.75" customHeight="1">
      <c r="A88" s="103"/>
      <c r="B88" s="134" t="s">
        <v>75</v>
      </c>
      <c r="C88" s="182" t="s">
        <v>101</v>
      </c>
      <c r="D88" s="125" t="s">
        <v>170</v>
      </c>
      <c r="E88" s="126" t="s">
        <v>168</v>
      </c>
      <c r="F88" s="126" t="s">
        <v>168</v>
      </c>
      <c r="G88" s="127" t="s">
        <v>206</v>
      </c>
      <c r="H88" s="183" t="s">
        <v>168</v>
      </c>
      <c r="I88" s="184" t="s">
        <v>76</v>
      </c>
      <c r="J88" s="145">
        <v>4700000</v>
      </c>
      <c r="K88" s="146">
        <v>0</v>
      </c>
      <c r="L88" s="186">
        <v>5556000</v>
      </c>
      <c r="M88" s="187">
        <v>5556000</v>
      </c>
      <c r="N88" s="188">
        <v>5556000</v>
      </c>
      <c r="O88" s="113"/>
    </row>
    <row r="89" spans="1:15" ht="6.75" customHeight="1">
      <c r="A89" s="103"/>
      <c r="B89" s="164"/>
      <c r="C89" s="165"/>
      <c r="D89" s="166"/>
      <c r="E89" s="166"/>
      <c r="F89" s="166"/>
      <c r="G89" s="166"/>
      <c r="H89" s="167"/>
      <c r="I89" s="168"/>
      <c r="J89" s="169"/>
      <c r="K89" s="170"/>
      <c r="L89" s="170"/>
      <c r="M89" s="171"/>
      <c r="N89" s="172"/>
      <c r="O89" s="113"/>
    </row>
    <row r="90" spans="1:15" ht="63">
      <c r="A90" s="103"/>
      <c r="B90" s="189" t="s">
        <v>374</v>
      </c>
      <c r="C90" s="190" t="s">
        <v>97</v>
      </c>
      <c r="D90" s="191" t="s">
        <v>168</v>
      </c>
      <c r="E90" s="192" t="s">
        <v>168</v>
      </c>
      <c r="F90" s="192" t="s">
        <v>168</v>
      </c>
      <c r="G90" s="191" t="s">
        <v>169</v>
      </c>
      <c r="H90" s="176" t="s">
        <v>168</v>
      </c>
      <c r="I90" s="98"/>
      <c r="J90" s="193" t="e">
        <f>#REF!+J91+J96</f>
        <v>#REF!</v>
      </c>
      <c r="K90" s="194" t="e">
        <f>#REF!+K91+K96</f>
        <v>#REF!</v>
      </c>
      <c r="L90" s="194">
        <f>L91+L96+L99</f>
        <v>1904080.08</v>
      </c>
      <c r="M90" s="195">
        <f>M91+M96+M99</f>
        <v>1904080.08</v>
      </c>
      <c r="N90" s="196">
        <f>N91+N96+N99</f>
        <v>3703160.16</v>
      </c>
      <c r="O90" s="113"/>
    </row>
    <row r="91" spans="1:15" ht="25.5">
      <c r="A91" s="103"/>
      <c r="B91" s="197" t="s">
        <v>250</v>
      </c>
      <c r="C91" s="158" t="s">
        <v>97</v>
      </c>
      <c r="D91" s="159" t="s">
        <v>168</v>
      </c>
      <c r="E91" s="126" t="s">
        <v>168</v>
      </c>
      <c r="F91" s="126" t="s">
        <v>168</v>
      </c>
      <c r="G91" s="159" t="s">
        <v>249</v>
      </c>
      <c r="H91" s="128" t="s">
        <v>168</v>
      </c>
      <c r="I91" s="129"/>
      <c r="J91" s="130" t="e">
        <f>J92+J94+#REF!</f>
        <v>#REF!</v>
      </c>
      <c r="K91" s="131" t="e">
        <f>K92+K94+#REF!</f>
        <v>#REF!</v>
      </c>
      <c r="L91" s="131">
        <f>L92+L94</f>
        <v>70000</v>
      </c>
      <c r="M91" s="132">
        <f>M92+M94</f>
        <v>70000</v>
      </c>
      <c r="N91" s="133">
        <f>N92+N94</f>
        <v>70000</v>
      </c>
      <c r="O91" s="113"/>
    </row>
    <row r="92" spans="1:15" ht="51">
      <c r="A92" s="103"/>
      <c r="B92" s="134" t="s">
        <v>92</v>
      </c>
      <c r="C92" s="158" t="s">
        <v>97</v>
      </c>
      <c r="D92" s="159" t="s">
        <v>168</v>
      </c>
      <c r="E92" s="126" t="s">
        <v>168</v>
      </c>
      <c r="F92" s="126" t="s">
        <v>168</v>
      </c>
      <c r="G92" s="159" t="s">
        <v>249</v>
      </c>
      <c r="H92" s="128" t="s">
        <v>168</v>
      </c>
      <c r="I92" s="129" t="s">
        <v>81</v>
      </c>
      <c r="J92" s="130">
        <f>J93</f>
        <v>30000</v>
      </c>
      <c r="K92" s="131">
        <f>K93</f>
        <v>0</v>
      </c>
      <c r="L92" s="149">
        <f>L93</f>
        <v>30000</v>
      </c>
      <c r="M92" s="150">
        <f>M93</f>
        <v>30000</v>
      </c>
      <c r="N92" s="151">
        <f>N93</f>
        <v>30000</v>
      </c>
      <c r="O92" s="113"/>
    </row>
    <row r="93" spans="1:15" ht="25.5">
      <c r="A93" s="103"/>
      <c r="B93" s="134" t="s">
        <v>82</v>
      </c>
      <c r="C93" s="158" t="s">
        <v>97</v>
      </c>
      <c r="D93" s="159" t="s">
        <v>168</v>
      </c>
      <c r="E93" s="126" t="s">
        <v>168</v>
      </c>
      <c r="F93" s="126" t="s">
        <v>168</v>
      </c>
      <c r="G93" s="159" t="s">
        <v>249</v>
      </c>
      <c r="H93" s="128" t="s">
        <v>168</v>
      </c>
      <c r="I93" s="129" t="s">
        <v>212</v>
      </c>
      <c r="J93" s="130">
        <v>30000</v>
      </c>
      <c r="K93" s="131">
        <v>0</v>
      </c>
      <c r="L93" s="149">
        <v>30000</v>
      </c>
      <c r="M93" s="150">
        <v>30000</v>
      </c>
      <c r="N93" s="151">
        <v>30000</v>
      </c>
      <c r="O93" s="113"/>
    </row>
    <row r="94" spans="1:15" ht="25.5">
      <c r="A94" s="103"/>
      <c r="B94" s="134" t="s">
        <v>73</v>
      </c>
      <c r="C94" s="158" t="s">
        <v>97</v>
      </c>
      <c r="D94" s="159" t="s">
        <v>168</v>
      </c>
      <c r="E94" s="126" t="s">
        <v>168</v>
      </c>
      <c r="F94" s="126" t="s">
        <v>168</v>
      </c>
      <c r="G94" s="159" t="s">
        <v>249</v>
      </c>
      <c r="H94" s="128" t="s">
        <v>168</v>
      </c>
      <c r="I94" s="129" t="s">
        <v>74</v>
      </c>
      <c r="J94" s="130">
        <f>J95</f>
        <v>40000</v>
      </c>
      <c r="K94" s="131">
        <f>K95</f>
        <v>0</v>
      </c>
      <c r="L94" s="149">
        <f>L95</f>
        <v>40000</v>
      </c>
      <c r="M94" s="150">
        <f>M95</f>
        <v>40000</v>
      </c>
      <c r="N94" s="151">
        <f>N95</f>
        <v>40000</v>
      </c>
      <c r="O94" s="113"/>
    </row>
    <row r="95" spans="1:15" ht="25.5">
      <c r="A95" s="103"/>
      <c r="B95" s="134" t="s">
        <v>75</v>
      </c>
      <c r="C95" s="158" t="s">
        <v>97</v>
      </c>
      <c r="D95" s="159" t="s">
        <v>168</v>
      </c>
      <c r="E95" s="126" t="s">
        <v>168</v>
      </c>
      <c r="F95" s="126" t="s">
        <v>168</v>
      </c>
      <c r="G95" s="159" t="s">
        <v>249</v>
      </c>
      <c r="H95" s="128" t="s">
        <v>168</v>
      </c>
      <c r="I95" s="129" t="s">
        <v>76</v>
      </c>
      <c r="J95" s="130">
        <v>40000</v>
      </c>
      <c r="K95" s="131">
        <v>0</v>
      </c>
      <c r="L95" s="149">
        <v>40000</v>
      </c>
      <c r="M95" s="150">
        <v>40000</v>
      </c>
      <c r="N95" s="151">
        <v>40000</v>
      </c>
      <c r="O95" s="113"/>
    </row>
    <row r="96" spans="1:15" ht="33" customHeight="1">
      <c r="A96" s="103"/>
      <c r="B96" s="123" t="s">
        <v>246</v>
      </c>
      <c r="C96" s="198" t="s">
        <v>97</v>
      </c>
      <c r="D96" s="199" t="s">
        <v>168</v>
      </c>
      <c r="E96" s="126" t="s">
        <v>168</v>
      </c>
      <c r="F96" s="126" t="s">
        <v>168</v>
      </c>
      <c r="G96" s="126" t="s">
        <v>223</v>
      </c>
      <c r="H96" s="183" t="s">
        <v>168</v>
      </c>
      <c r="I96" s="184"/>
      <c r="J96" s="130">
        <f aca="true" t="shared" si="17" ref="J96:N97">J97</f>
        <v>35000</v>
      </c>
      <c r="K96" s="131">
        <f t="shared" si="17"/>
        <v>0</v>
      </c>
      <c r="L96" s="131">
        <f t="shared" si="17"/>
        <v>35000</v>
      </c>
      <c r="M96" s="132">
        <f t="shared" si="17"/>
        <v>35000</v>
      </c>
      <c r="N96" s="133">
        <f t="shared" si="17"/>
        <v>35000</v>
      </c>
      <c r="O96" s="113"/>
    </row>
    <row r="97" spans="1:15" ht="31.5" customHeight="1">
      <c r="A97" s="103"/>
      <c r="B97" s="134" t="s">
        <v>29</v>
      </c>
      <c r="C97" s="198" t="s">
        <v>97</v>
      </c>
      <c r="D97" s="199" t="s">
        <v>168</v>
      </c>
      <c r="E97" s="126" t="s">
        <v>168</v>
      </c>
      <c r="F97" s="126" t="s">
        <v>168</v>
      </c>
      <c r="G97" s="126" t="s">
        <v>223</v>
      </c>
      <c r="H97" s="183" t="s">
        <v>168</v>
      </c>
      <c r="I97" s="184" t="s">
        <v>182</v>
      </c>
      <c r="J97" s="130">
        <f t="shared" si="17"/>
        <v>35000</v>
      </c>
      <c r="K97" s="131">
        <f t="shared" si="17"/>
        <v>0</v>
      </c>
      <c r="L97" s="131">
        <f t="shared" si="17"/>
        <v>35000</v>
      </c>
      <c r="M97" s="132">
        <f t="shared" si="17"/>
        <v>35000</v>
      </c>
      <c r="N97" s="133">
        <f t="shared" si="17"/>
        <v>35000</v>
      </c>
      <c r="O97" s="113"/>
    </row>
    <row r="98" spans="1:15" ht="42.75" customHeight="1">
      <c r="A98" s="103"/>
      <c r="B98" s="200" t="s">
        <v>265</v>
      </c>
      <c r="C98" s="198" t="s">
        <v>97</v>
      </c>
      <c r="D98" s="199" t="s">
        <v>168</v>
      </c>
      <c r="E98" s="126" t="s">
        <v>168</v>
      </c>
      <c r="F98" s="126" t="s">
        <v>168</v>
      </c>
      <c r="G98" s="126" t="s">
        <v>223</v>
      </c>
      <c r="H98" s="183" t="s">
        <v>168</v>
      </c>
      <c r="I98" s="184" t="s">
        <v>193</v>
      </c>
      <c r="J98" s="130">
        <v>35000</v>
      </c>
      <c r="K98" s="130">
        <v>0</v>
      </c>
      <c r="L98" s="131">
        <v>35000</v>
      </c>
      <c r="M98" s="132">
        <v>35000</v>
      </c>
      <c r="N98" s="133">
        <v>35000</v>
      </c>
      <c r="O98" s="113"/>
    </row>
    <row r="99" spans="1:15" ht="42.75" customHeight="1">
      <c r="A99" s="103"/>
      <c r="B99" s="155" t="s">
        <v>195</v>
      </c>
      <c r="C99" s="158" t="s">
        <v>97</v>
      </c>
      <c r="D99" s="159" t="s">
        <v>168</v>
      </c>
      <c r="E99" s="126" t="s">
        <v>168</v>
      </c>
      <c r="F99" s="126" t="s">
        <v>168</v>
      </c>
      <c r="G99" s="159" t="s">
        <v>338</v>
      </c>
      <c r="H99" s="128" t="s">
        <v>168</v>
      </c>
      <c r="I99" s="201"/>
      <c r="J99" s="130"/>
      <c r="K99" s="131"/>
      <c r="L99" s="131">
        <f aca="true" t="shared" si="18" ref="L99:N100">L100</f>
        <v>1799080.08</v>
      </c>
      <c r="M99" s="132">
        <f t="shared" si="18"/>
        <v>1799080.08</v>
      </c>
      <c r="N99" s="133">
        <f t="shared" si="18"/>
        <v>3598160.16</v>
      </c>
      <c r="O99" s="113"/>
    </row>
    <row r="100" spans="1:15" ht="23.25" customHeight="1">
      <c r="A100" s="103"/>
      <c r="B100" s="134" t="s">
        <v>127</v>
      </c>
      <c r="C100" s="182" t="s">
        <v>97</v>
      </c>
      <c r="D100" s="125" t="s">
        <v>168</v>
      </c>
      <c r="E100" s="126" t="s">
        <v>168</v>
      </c>
      <c r="F100" s="126" t="s">
        <v>168</v>
      </c>
      <c r="G100" s="159" t="s">
        <v>338</v>
      </c>
      <c r="H100" s="128" t="s">
        <v>168</v>
      </c>
      <c r="I100" s="129" t="s">
        <v>140</v>
      </c>
      <c r="J100" s="130"/>
      <c r="K100" s="131"/>
      <c r="L100" s="131">
        <f t="shared" si="18"/>
        <v>1799080.08</v>
      </c>
      <c r="M100" s="132">
        <f t="shared" si="18"/>
        <v>1799080.08</v>
      </c>
      <c r="N100" s="133">
        <f t="shared" si="18"/>
        <v>3598160.16</v>
      </c>
      <c r="O100" s="113"/>
    </row>
    <row r="101" spans="1:15" ht="27" customHeight="1">
      <c r="A101" s="103"/>
      <c r="B101" s="134" t="s">
        <v>141</v>
      </c>
      <c r="C101" s="182" t="s">
        <v>97</v>
      </c>
      <c r="D101" s="125" t="s">
        <v>168</v>
      </c>
      <c r="E101" s="126" t="s">
        <v>168</v>
      </c>
      <c r="F101" s="126" t="s">
        <v>168</v>
      </c>
      <c r="G101" s="159" t="s">
        <v>338</v>
      </c>
      <c r="H101" s="128" t="s">
        <v>168</v>
      </c>
      <c r="I101" s="129" t="s">
        <v>175</v>
      </c>
      <c r="J101" s="130"/>
      <c r="K101" s="131"/>
      <c r="L101" s="138">
        <f>1349310.06+449770.02</f>
        <v>1799080.08</v>
      </c>
      <c r="M101" s="139">
        <f>1349310.06+449770.02</f>
        <v>1799080.08</v>
      </c>
      <c r="N101" s="140">
        <f>2698620.12+899540.04</f>
        <v>3598160.16</v>
      </c>
      <c r="O101" s="113"/>
    </row>
    <row r="102" spans="1:15" ht="6.75" customHeight="1">
      <c r="A102" s="103"/>
      <c r="B102" s="200"/>
      <c r="C102" s="202"/>
      <c r="D102" s="203"/>
      <c r="E102" s="204"/>
      <c r="F102" s="204"/>
      <c r="G102" s="204"/>
      <c r="H102" s="205"/>
      <c r="I102" s="206"/>
      <c r="J102" s="130"/>
      <c r="K102" s="131"/>
      <c r="L102" s="207"/>
      <c r="M102" s="208"/>
      <c r="N102" s="209"/>
      <c r="O102" s="113"/>
    </row>
    <row r="103" spans="1:15" ht="12" customHeight="1">
      <c r="A103" s="103"/>
      <c r="B103" s="210"/>
      <c r="C103" s="211"/>
      <c r="D103" s="212"/>
      <c r="E103" s="212"/>
      <c r="F103" s="212"/>
      <c r="G103" s="213"/>
      <c r="H103" s="214"/>
      <c r="I103" s="215"/>
      <c r="J103" s="216"/>
      <c r="K103" s="217"/>
      <c r="L103" s="217"/>
      <c r="M103" s="218"/>
      <c r="N103" s="219"/>
      <c r="O103" s="113"/>
    </row>
    <row r="104" spans="1:15" ht="78.75">
      <c r="A104" s="103"/>
      <c r="B104" s="189" t="s">
        <v>322</v>
      </c>
      <c r="C104" s="115" t="s">
        <v>96</v>
      </c>
      <c r="D104" s="116" t="s">
        <v>168</v>
      </c>
      <c r="E104" s="156" t="s">
        <v>168</v>
      </c>
      <c r="F104" s="156" t="s">
        <v>168</v>
      </c>
      <c r="G104" s="116" t="s">
        <v>169</v>
      </c>
      <c r="H104" s="157" t="s">
        <v>168</v>
      </c>
      <c r="I104" s="143"/>
      <c r="J104" s="110">
        <f>J105+J111+J108</f>
        <v>300000</v>
      </c>
      <c r="K104" s="111">
        <f>K105+K111+K108</f>
        <v>0</v>
      </c>
      <c r="L104" s="111">
        <f>L105+L111+L108</f>
        <v>7929454</v>
      </c>
      <c r="M104" s="112">
        <f>M105+M111+M108</f>
        <v>0</v>
      </c>
      <c r="N104" s="119">
        <f>N105+N111+N108</f>
        <v>0</v>
      </c>
      <c r="O104" s="113"/>
    </row>
    <row r="105" spans="2:15" ht="25.5">
      <c r="B105" s="220" t="s">
        <v>217</v>
      </c>
      <c r="C105" s="124" t="s">
        <v>96</v>
      </c>
      <c r="D105" s="199" t="s">
        <v>168</v>
      </c>
      <c r="E105" s="126" t="s">
        <v>168</v>
      </c>
      <c r="F105" s="126" t="s">
        <v>168</v>
      </c>
      <c r="G105" s="126" t="s">
        <v>216</v>
      </c>
      <c r="H105" s="128" t="s">
        <v>168</v>
      </c>
      <c r="I105" s="137"/>
      <c r="J105" s="130">
        <f aca="true" t="shared" si="19" ref="J105:N106">J106</f>
        <v>300000</v>
      </c>
      <c r="K105" s="131">
        <f t="shared" si="19"/>
        <v>0</v>
      </c>
      <c r="L105" s="131">
        <f t="shared" si="19"/>
        <v>7929454</v>
      </c>
      <c r="M105" s="132">
        <f t="shared" si="19"/>
        <v>0</v>
      </c>
      <c r="N105" s="133">
        <f t="shared" si="19"/>
        <v>0</v>
      </c>
      <c r="O105" s="113"/>
    </row>
    <row r="106" spans="2:15" ht="25.5">
      <c r="B106" s="123" t="s">
        <v>228</v>
      </c>
      <c r="C106" s="124" t="s">
        <v>96</v>
      </c>
      <c r="D106" s="126" t="s">
        <v>168</v>
      </c>
      <c r="E106" s="126" t="s">
        <v>168</v>
      </c>
      <c r="F106" s="126" t="s">
        <v>168</v>
      </c>
      <c r="G106" s="126" t="s">
        <v>216</v>
      </c>
      <c r="H106" s="128" t="s">
        <v>168</v>
      </c>
      <c r="I106" s="137" t="s">
        <v>199</v>
      </c>
      <c r="J106" s="130">
        <f t="shared" si="19"/>
        <v>300000</v>
      </c>
      <c r="K106" s="131">
        <f t="shared" si="19"/>
        <v>0</v>
      </c>
      <c r="L106" s="131">
        <f t="shared" si="19"/>
        <v>7929454</v>
      </c>
      <c r="M106" s="132">
        <f t="shared" si="19"/>
        <v>0</v>
      </c>
      <c r="N106" s="133">
        <f t="shared" si="19"/>
        <v>0</v>
      </c>
      <c r="O106" s="113"/>
    </row>
    <row r="107" spans="2:15" ht="18.75" customHeight="1">
      <c r="B107" s="197" t="s">
        <v>201</v>
      </c>
      <c r="C107" s="124" t="s">
        <v>96</v>
      </c>
      <c r="D107" s="125" t="s">
        <v>168</v>
      </c>
      <c r="E107" s="126" t="s">
        <v>168</v>
      </c>
      <c r="F107" s="126" t="s">
        <v>168</v>
      </c>
      <c r="G107" s="126" t="s">
        <v>216</v>
      </c>
      <c r="H107" s="128" t="s">
        <v>168</v>
      </c>
      <c r="I107" s="137" t="s">
        <v>200</v>
      </c>
      <c r="J107" s="130">
        <v>300000</v>
      </c>
      <c r="K107" s="131">
        <v>0</v>
      </c>
      <c r="L107" s="131">
        <f>7529454+400000</f>
        <v>7929454</v>
      </c>
      <c r="M107" s="132">
        <v>0</v>
      </c>
      <c r="N107" s="133">
        <v>0</v>
      </c>
      <c r="O107" s="113"/>
    </row>
    <row r="108" spans="2:15" ht="45.75" customHeight="1" hidden="1">
      <c r="B108" s="123" t="s">
        <v>277</v>
      </c>
      <c r="C108" s="198" t="s">
        <v>96</v>
      </c>
      <c r="D108" s="199" t="s">
        <v>168</v>
      </c>
      <c r="E108" s="126" t="s">
        <v>168</v>
      </c>
      <c r="F108" s="126" t="s">
        <v>168</v>
      </c>
      <c r="G108" s="199" t="s">
        <v>278</v>
      </c>
      <c r="H108" s="128" t="s">
        <v>168</v>
      </c>
      <c r="I108" s="184"/>
      <c r="J108" s="130">
        <f aca="true" t="shared" si="20" ref="J108:N109">J109</f>
        <v>0</v>
      </c>
      <c r="K108" s="131">
        <f t="shared" si="20"/>
        <v>0</v>
      </c>
      <c r="L108" s="131">
        <f t="shared" si="20"/>
        <v>0</v>
      </c>
      <c r="M108" s="132">
        <f t="shared" si="20"/>
        <v>0</v>
      </c>
      <c r="N108" s="133">
        <f t="shared" si="20"/>
        <v>0</v>
      </c>
      <c r="O108" s="113"/>
    </row>
    <row r="109" spans="2:15" ht="39.75" customHeight="1" hidden="1">
      <c r="B109" s="197" t="s">
        <v>157</v>
      </c>
      <c r="C109" s="198" t="s">
        <v>96</v>
      </c>
      <c r="D109" s="199" t="s">
        <v>168</v>
      </c>
      <c r="E109" s="126" t="s">
        <v>168</v>
      </c>
      <c r="F109" s="126" t="s">
        <v>168</v>
      </c>
      <c r="G109" s="199" t="s">
        <v>278</v>
      </c>
      <c r="H109" s="128" t="s">
        <v>168</v>
      </c>
      <c r="I109" s="184" t="s">
        <v>74</v>
      </c>
      <c r="J109" s="130">
        <f t="shared" si="20"/>
        <v>0</v>
      </c>
      <c r="K109" s="131">
        <f t="shared" si="20"/>
        <v>0</v>
      </c>
      <c r="L109" s="131">
        <f t="shared" si="20"/>
        <v>0</v>
      </c>
      <c r="M109" s="132">
        <f t="shared" si="20"/>
        <v>0</v>
      </c>
      <c r="N109" s="133">
        <f t="shared" si="20"/>
        <v>0</v>
      </c>
      <c r="O109" s="113"/>
    </row>
    <row r="110" spans="2:15" ht="36" customHeight="1" hidden="1">
      <c r="B110" s="197" t="s">
        <v>75</v>
      </c>
      <c r="C110" s="198" t="s">
        <v>96</v>
      </c>
      <c r="D110" s="199" t="s">
        <v>168</v>
      </c>
      <c r="E110" s="126" t="s">
        <v>168</v>
      </c>
      <c r="F110" s="126" t="s">
        <v>168</v>
      </c>
      <c r="G110" s="199" t="s">
        <v>278</v>
      </c>
      <c r="H110" s="128" t="s">
        <v>168</v>
      </c>
      <c r="I110" s="184" t="s">
        <v>76</v>
      </c>
      <c r="J110" s="130">
        <v>0</v>
      </c>
      <c r="K110" s="131">
        <v>0</v>
      </c>
      <c r="L110" s="131">
        <v>0</v>
      </c>
      <c r="M110" s="132">
        <v>0</v>
      </c>
      <c r="N110" s="133">
        <v>0</v>
      </c>
      <c r="O110" s="113"/>
    </row>
    <row r="111" spans="2:15" ht="30" customHeight="1" hidden="1">
      <c r="B111" s="134" t="s">
        <v>122</v>
      </c>
      <c r="C111" s="124" t="s">
        <v>96</v>
      </c>
      <c r="D111" s="199" t="s">
        <v>168</v>
      </c>
      <c r="E111" s="126" t="s">
        <v>168</v>
      </c>
      <c r="F111" s="126" t="s">
        <v>168</v>
      </c>
      <c r="G111" s="126" t="s">
        <v>174</v>
      </c>
      <c r="H111" s="128" t="s">
        <v>168</v>
      </c>
      <c r="I111" s="137"/>
      <c r="J111" s="130">
        <f aca="true" t="shared" si="21" ref="J111:N112">J112</f>
        <v>0</v>
      </c>
      <c r="K111" s="131">
        <f t="shared" si="21"/>
        <v>0</v>
      </c>
      <c r="L111" s="131">
        <f t="shared" si="21"/>
        <v>0</v>
      </c>
      <c r="M111" s="132">
        <f t="shared" si="21"/>
        <v>0</v>
      </c>
      <c r="N111" s="133">
        <f t="shared" si="21"/>
        <v>0</v>
      </c>
      <c r="O111" s="113"/>
    </row>
    <row r="112" spans="2:15" ht="30" customHeight="1" hidden="1">
      <c r="B112" s="134" t="s">
        <v>73</v>
      </c>
      <c r="C112" s="124" t="s">
        <v>96</v>
      </c>
      <c r="D112" s="199" t="s">
        <v>168</v>
      </c>
      <c r="E112" s="126" t="s">
        <v>168</v>
      </c>
      <c r="F112" s="126" t="s">
        <v>168</v>
      </c>
      <c r="G112" s="126" t="s">
        <v>174</v>
      </c>
      <c r="H112" s="128" t="s">
        <v>168</v>
      </c>
      <c r="I112" s="137" t="s">
        <v>74</v>
      </c>
      <c r="J112" s="130">
        <f t="shared" si="21"/>
        <v>0</v>
      </c>
      <c r="K112" s="131">
        <f t="shared" si="21"/>
        <v>0</v>
      </c>
      <c r="L112" s="131">
        <f t="shared" si="21"/>
        <v>0</v>
      </c>
      <c r="M112" s="132">
        <f t="shared" si="21"/>
        <v>0</v>
      </c>
      <c r="N112" s="133">
        <f t="shared" si="21"/>
        <v>0</v>
      </c>
      <c r="O112" s="113"/>
    </row>
    <row r="113" spans="2:15" ht="30" customHeight="1" hidden="1">
      <c r="B113" s="134" t="s">
        <v>75</v>
      </c>
      <c r="C113" s="124" t="s">
        <v>96</v>
      </c>
      <c r="D113" s="199" t="s">
        <v>168</v>
      </c>
      <c r="E113" s="126" t="s">
        <v>168</v>
      </c>
      <c r="F113" s="126" t="s">
        <v>168</v>
      </c>
      <c r="G113" s="126" t="s">
        <v>174</v>
      </c>
      <c r="H113" s="128" t="s">
        <v>168</v>
      </c>
      <c r="I113" s="137" t="s">
        <v>76</v>
      </c>
      <c r="J113" s="130">
        <v>0</v>
      </c>
      <c r="K113" s="131">
        <v>0</v>
      </c>
      <c r="L113" s="131">
        <v>0</v>
      </c>
      <c r="M113" s="132">
        <v>0</v>
      </c>
      <c r="N113" s="133">
        <v>0</v>
      </c>
      <c r="O113" s="113"/>
    </row>
    <row r="114" spans="1:15" s="122" customFormat="1" ht="63">
      <c r="A114" s="221"/>
      <c r="B114" s="222" t="s">
        <v>377</v>
      </c>
      <c r="C114" s="190" t="s">
        <v>98</v>
      </c>
      <c r="D114" s="191" t="s">
        <v>168</v>
      </c>
      <c r="E114" s="192" t="s">
        <v>168</v>
      </c>
      <c r="F114" s="192" t="s">
        <v>168</v>
      </c>
      <c r="G114" s="191" t="s">
        <v>169</v>
      </c>
      <c r="H114" s="176" t="s">
        <v>168</v>
      </c>
      <c r="I114" s="223"/>
      <c r="J114" s="193" t="e">
        <f>#REF!+J115+#REF!</f>
        <v>#REF!</v>
      </c>
      <c r="K114" s="194" t="e">
        <f>#REF!+K115+#REF!</f>
        <v>#REF!</v>
      </c>
      <c r="L114" s="194">
        <f>L115</f>
        <v>100000</v>
      </c>
      <c r="M114" s="194">
        <f>M115</f>
        <v>100000</v>
      </c>
      <c r="N114" s="195">
        <f>N115</f>
        <v>100000</v>
      </c>
      <c r="O114" s="113"/>
    </row>
    <row r="115" spans="1:15" s="122" customFormat="1" ht="12.75">
      <c r="A115" s="221"/>
      <c r="B115" s="123" t="s">
        <v>226</v>
      </c>
      <c r="C115" s="124" t="s">
        <v>98</v>
      </c>
      <c r="D115" s="126" t="s">
        <v>168</v>
      </c>
      <c r="E115" s="126" t="s">
        <v>168</v>
      </c>
      <c r="F115" s="126" t="s">
        <v>168</v>
      </c>
      <c r="G115" s="224">
        <v>8040</v>
      </c>
      <c r="H115" s="128" t="s">
        <v>168</v>
      </c>
      <c r="I115" s="137"/>
      <c r="J115" s="130">
        <f aca="true" t="shared" si="22" ref="J115:N116">J116</f>
        <v>100000</v>
      </c>
      <c r="K115" s="131">
        <f t="shared" si="22"/>
        <v>0</v>
      </c>
      <c r="L115" s="131">
        <f t="shared" si="22"/>
        <v>100000</v>
      </c>
      <c r="M115" s="132">
        <f t="shared" si="22"/>
        <v>100000</v>
      </c>
      <c r="N115" s="133">
        <f t="shared" si="22"/>
        <v>100000</v>
      </c>
      <c r="O115" s="113"/>
    </row>
    <row r="116" spans="1:15" s="122" customFormat="1" ht="25.5">
      <c r="A116" s="221"/>
      <c r="B116" s="134" t="s">
        <v>73</v>
      </c>
      <c r="C116" s="182" t="s">
        <v>98</v>
      </c>
      <c r="D116" s="125" t="s">
        <v>168</v>
      </c>
      <c r="E116" s="126" t="s">
        <v>168</v>
      </c>
      <c r="F116" s="126" t="s">
        <v>168</v>
      </c>
      <c r="G116" s="224">
        <v>8040</v>
      </c>
      <c r="H116" s="128" t="s">
        <v>168</v>
      </c>
      <c r="I116" s="129" t="s">
        <v>74</v>
      </c>
      <c r="J116" s="130">
        <f t="shared" si="22"/>
        <v>100000</v>
      </c>
      <c r="K116" s="131">
        <f t="shared" si="22"/>
        <v>0</v>
      </c>
      <c r="L116" s="131">
        <f t="shared" si="22"/>
        <v>100000</v>
      </c>
      <c r="M116" s="132">
        <f t="shared" si="22"/>
        <v>100000</v>
      </c>
      <c r="N116" s="133">
        <f t="shared" si="22"/>
        <v>100000</v>
      </c>
      <c r="O116" s="113"/>
    </row>
    <row r="117" spans="1:15" s="122" customFormat="1" ht="25.5">
      <c r="A117" s="221"/>
      <c r="B117" s="134" t="s">
        <v>75</v>
      </c>
      <c r="C117" s="182" t="s">
        <v>98</v>
      </c>
      <c r="D117" s="125" t="s">
        <v>168</v>
      </c>
      <c r="E117" s="126" t="s">
        <v>168</v>
      </c>
      <c r="F117" s="126" t="s">
        <v>168</v>
      </c>
      <c r="G117" s="224">
        <v>8040</v>
      </c>
      <c r="H117" s="128" t="s">
        <v>168</v>
      </c>
      <c r="I117" s="129" t="s">
        <v>76</v>
      </c>
      <c r="J117" s="130">
        <v>100000</v>
      </c>
      <c r="K117" s="131">
        <v>0</v>
      </c>
      <c r="L117" s="138">
        <v>100000</v>
      </c>
      <c r="M117" s="139">
        <v>100000</v>
      </c>
      <c r="N117" s="140">
        <v>100000</v>
      </c>
      <c r="O117" s="113"/>
    </row>
    <row r="118" spans="2:15" ht="9" customHeight="1">
      <c r="B118" s="225"/>
      <c r="C118" s="226"/>
      <c r="D118" s="227"/>
      <c r="E118" s="204"/>
      <c r="F118" s="204"/>
      <c r="G118" s="228"/>
      <c r="H118" s="229"/>
      <c r="I118" s="230"/>
      <c r="J118" s="231"/>
      <c r="K118" s="232"/>
      <c r="L118" s="232"/>
      <c r="M118" s="233"/>
      <c r="N118" s="234"/>
      <c r="O118" s="113"/>
    </row>
    <row r="119" spans="1:15" ht="31.5">
      <c r="A119" s="103"/>
      <c r="B119" s="173" t="s">
        <v>376</v>
      </c>
      <c r="C119" s="190" t="s">
        <v>95</v>
      </c>
      <c r="D119" s="191" t="s">
        <v>168</v>
      </c>
      <c r="E119" s="192" t="s">
        <v>168</v>
      </c>
      <c r="F119" s="192" t="s">
        <v>168</v>
      </c>
      <c r="G119" s="191" t="s">
        <v>169</v>
      </c>
      <c r="H119" s="176" t="s">
        <v>168</v>
      </c>
      <c r="I119" s="98"/>
      <c r="J119" s="193">
        <f>J120</f>
        <v>597600</v>
      </c>
      <c r="K119" s="194">
        <f>K120</f>
        <v>0</v>
      </c>
      <c r="L119" s="194">
        <f>L120</f>
        <v>480000</v>
      </c>
      <c r="M119" s="195">
        <f>M120</f>
        <v>1056215</v>
      </c>
      <c r="N119" s="196">
        <f>N120</f>
        <v>1056215</v>
      </c>
      <c r="O119" s="113"/>
    </row>
    <row r="120" spans="1:15" ht="18.75">
      <c r="A120" s="103"/>
      <c r="B120" s="123" t="s">
        <v>19</v>
      </c>
      <c r="C120" s="124" t="s">
        <v>95</v>
      </c>
      <c r="D120" s="126" t="s">
        <v>168</v>
      </c>
      <c r="E120" s="126" t="s">
        <v>168</v>
      </c>
      <c r="F120" s="126" t="s">
        <v>168</v>
      </c>
      <c r="G120" s="126" t="s">
        <v>22</v>
      </c>
      <c r="H120" s="128" t="s">
        <v>168</v>
      </c>
      <c r="I120" s="137"/>
      <c r="J120" s="130">
        <f>J123+J125+J121+J127</f>
        <v>597600</v>
      </c>
      <c r="K120" s="131">
        <f>K123+K125+K121+K127</f>
        <v>0</v>
      </c>
      <c r="L120" s="131">
        <f>L123+L125+L121+L127</f>
        <v>480000</v>
      </c>
      <c r="M120" s="132">
        <f>M123+M125+M121+M127</f>
        <v>1056215</v>
      </c>
      <c r="N120" s="133">
        <f>N123+N125+N121+N127</f>
        <v>1056215</v>
      </c>
      <c r="O120" s="113"/>
    </row>
    <row r="121" spans="1:15" ht="51">
      <c r="A121" s="103"/>
      <c r="B121" s="134" t="s">
        <v>92</v>
      </c>
      <c r="C121" s="124" t="s">
        <v>95</v>
      </c>
      <c r="D121" s="126" t="s">
        <v>168</v>
      </c>
      <c r="E121" s="126" t="s">
        <v>168</v>
      </c>
      <c r="F121" s="126" t="s">
        <v>168</v>
      </c>
      <c r="G121" s="126" t="s">
        <v>22</v>
      </c>
      <c r="H121" s="128" t="s">
        <v>168</v>
      </c>
      <c r="I121" s="137" t="s">
        <v>81</v>
      </c>
      <c r="J121" s="130">
        <f>J122</f>
        <v>160000</v>
      </c>
      <c r="K121" s="131">
        <f>K122</f>
        <v>0</v>
      </c>
      <c r="L121" s="131">
        <f>L122</f>
        <v>85000</v>
      </c>
      <c r="M121" s="132">
        <f>M122</f>
        <v>160000</v>
      </c>
      <c r="N121" s="133">
        <f>N122</f>
        <v>160000</v>
      </c>
      <c r="O121" s="113"/>
    </row>
    <row r="122" spans="1:15" ht="25.5">
      <c r="A122" s="103"/>
      <c r="B122" s="134" t="s">
        <v>82</v>
      </c>
      <c r="C122" s="124" t="s">
        <v>95</v>
      </c>
      <c r="D122" s="126" t="s">
        <v>168</v>
      </c>
      <c r="E122" s="126" t="s">
        <v>168</v>
      </c>
      <c r="F122" s="126" t="s">
        <v>168</v>
      </c>
      <c r="G122" s="126" t="s">
        <v>22</v>
      </c>
      <c r="H122" s="128" t="s">
        <v>168</v>
      </c>
      <c r="I122" s="137" t="s">
        <v>212</v>
      </c>
      <c r="J122" s="130">
        <v>160000</v>
      </c>
      <c r="K122" s="131">
        <v>0</v>
      </c>
      <c r="L122" s="131">
        <v>85000</v>
      </c>
      <c r="M122" s="132">
        <v>160000</v>
      </c>
      <c r="N122" s="133">
        <v>160000</v>
      </c>
      <c r="O122" s="113"/>
    </row>
    <row r="123" spans="1:15" ht="25.5">
      <c r="A123" s="103"/>
      <c r="B123" s="134" t="s">
        <v>73</v>
      </c>
      <c r="C123" s="124" t="s">
        <v>95</v>
      </c>
      <c r="D123" s="126" t="s">
        <v>168</v>
      </c>
      <c r="E123" s="126" t="s">
        <v>168</v>
      </c>
      <c r="F123" s="126" t="s">
        <v>168</v>
      </c>
      <c r="G123" s="126" t="s">
        <v>22</v>
      </c>
      <c r="H123" s="128" t="s">
        <v>168</v>
      </c>
      <c r="I123" s="137" t="s">
        <v>74</v>
      </c>
      <c r="J123" s="130">
        <f>J124</f>
        <v>308600</v>
      </c>
      <c r="K123" s="131">
        <f>K124</f>
        <v>0</v>
      </c>
      <c r="L123" s="131">
        <f>L124</f>
        <v>166000</v>
      </c>
      <c r="M123" s="132">
        <f>M124</f>
        <v>587215</v>
      </c>
      <c r="N123" s="133">
        <f>N124</f>
        <v>587215</v>
      </c>
      <c r="O123" s="113"/>
    </row>
    <row r="124" spans="1:15" ht="25.5">
      <c r="A124" s="103"/>
      <c r="B124" s="134" t="s">
        <v>75</v>
      </c>
      <c r="C124" s="124" t="s">
        <v>95</v>
      </c>
      <c r="D124" s="126" t="s">
        <v>168</v>
      </c>
      <c r="E124" s="126" t="s">
        <v>168</v>
      </c>
      <c r="F124" s="126" t="s">
        <v>168</v>
      </c>
      <c r="G124" s="126" t="s">
        <v>22</v>
      </c>
      <c r="H124" s="128" t="s">
        <v>168</v>
      </c>
      <c r="I124" s="137" t="s">
        <v>76</v>
      </c>
      <c r="J124" s="130">
        <v>308600</v>
      </c>
      <c r="K124" s="131">
        <v>0</v>
      </c>
      <c r="L124" s="131">
        <v>166000</v>
      </c>
      <c r="M124" s="132">
        <v>587215</v>
      </c>
      <c r="N124" s="133">
        <v>587215</v>
      </c>
      <c r="O124" s="113"/>
    </row>
    <row r="125" spans="1:15" ht="18" customHeight="1">
      <c r="A125" s="103"/>
      <c r="B125" s="235" t="s">
        <v>188</v>
      </c>
      <c r="C125" s="124" t="s">
        <v>95</v>
      </c>
      <c r="D125" s="126" t="s">
        <v>168</v>
      </c>
      <c r="E125" s="126" t="s">
        <v>168</v>
      </c>
      <c r="F125" s="126" t="s">
        <v>168</v>
      </c>
      <c r="G125" s="126" t="s">
        <v>22</v>
      </c>
      <c r="H125" s="128" t="s">
        <v>168</v>
      </c>
      <c r="I125" s="201" t="s">
        <v>78</v>
      </c>
      <c r="J125" s="130">
        <f>J126</f>
        <v>19000</v>
      </c>
      <c r="K125" s="131">
        <f>K126</f>
        <v>0</v>
      </c>
      <c r="L125" s="131">
        <f>L126</f>
        <v>4000</v>
      </c>
      <c r="M125" s="132">
        <f>M126</f>
        <v>19000</v>
      </c>
      <c r="N125" s="133">
        <f>N126</f>
        <v>19000</v>
      </c>
      <c r="O125" s="113"/>
    </row>
    <row r="126" spans="1:15" ht="12" customHeight="1">
      <c r="A126" s="103"/>
      <c r="B126" s="134" t="s">
        <v>189</v>
      </c>
      <c r="C126" s="124" t="s">
        <v>95</v>
      </c>
      <c r="D126" s="126" t="s">
        <v>168</v>
      </c>
      <c r="E126" s="126" t="s">
        <v>168</v>
      </c>
      <c r="F126" s="126" t="s">
        <v>168</v>
      </c>
      <c r="G126" s="126" t="s">
        <v>22</v>
      </c>
      <c r="H126" s="128" t="s">
        <v>168</v>
      </c>
      <c r="I126" s="201" t="s">
        <v>187</v>
      </c>
      <c r="J126" s="130">
        <v>19000</v>
      </c>
      <c r="K126" s="131">
        <v>0</v>
      </c>
      <c r="L126" s="131">
        <v>4000</v>
      </c>
      <c r="M126" s="132">
        <v>19000</v>
      </c>
      <c r="N126" s="133">
        <v>19000</v>
      </c>
      <c r="O126" s="113"/>
    </row>
    <row r="127" spans="1:15" ht="25.5">
      <c r="A127" s="103"/>
      <c r="B127" s="134" t="s">
        <v>29</v>
      </c>
      <c r="C127" s="124" t="s">
        <v>95</v>
      </c>
      <c r="D127" s="126" t="s">
        <v>168</v>
      </c>
      <c r="E127" s="126" t="s">
        <v>168</v>
      </c>
      <c r="F127" s="126" t="s">
        <v>168</v>
      </c>
      <c r="G127" s="126" t="s">
        <v>22</v>
      </c>
      <c r="H127" s="128" t="s">
        <v>168</v>
      </c>
      <c r="I127" s="137" t="s">
        <v>182</v>
      </c>
      <c r="J127" s="130">
        <f>J128+J129</f>
        <v>110000</v>
      </c>
      <c r="K127" s="131">
        <f>K128+K129</f>
        <v>0</v>
      </c>
      <c r="L127" s="131">
        <f>L128+L129</f>
        <v>225000</v>
      </c>
      <c r="M127" s="132">
        <f>M128+M129</f>
        <v>290000</v>
      </c>
      <c r="N127" s="133">
        <f>N128+N129</f>
        <v>290000</v>
      </c>
      <c r="O127" s="113"/>
    </row>
    <row r="128" spans="1:15" ht="18.75">
      <c r="A128" s="103"/>
      <c r="B128" s="134" t="s">
        <v>30</v>
      </c>
      <c r="C128" s="124" t="s">
        <v>95</v>
      </c>
      <c r="D128" s="126" t="s">
        <v>168</v>
      </c>
      <c r="E128" s="126" t="s">
        <v>168</v>
      </c>
      <c r="F128" s="126" t="s">
        <v>168</v>
      </c>
      <c r="G128" s="126" t="s">
        <v>22</v>
      </c>
      <c r="H128" s="128" t="s">
        <v>168</v>
      </c>
      <c r="I128" s="137" t="s">
        <v>31</v>
      </c>
      <c r="J128" s="130">
        <v>55000</v>
      </c>
      <c r="K128" s="131">
        <v>0</v>
      </c>
      <c r="L128" s="131">
        <v>202500</v>
      </c>
      <c r="M128" s="132">
        <v>200000</v>
      </c>
      <c r="N128" s="133">
        <v>200000</v>
      </c>
      <c r="O128" s="113"/>
    </row>
    <row r="129" spans="1:15" ht="38.25">
      <c r="A129" s="103"/>
      <c r="B129" s="200" t="s">
        <v>265</v>
      </c>
      <c r="C129" s="124" t="s">
        <v>95</v>
      </c>
      <c r="D129" s="126" t="s">
        <v>168</v>
      </c>
      <c r="E129" s="126" t="s">
        <v>168</v>
      </c>
      <c r="F129" s="126" t="s">
        <v>168</v>
      </c>
      <c r="G129" s="126" t="s">
        <v>22</v>
      </c>
      <c r="H129" s="128" t="s">
        <v>168</v>
      </c>
      <c r="I129" s="137" t="s">
        <v>193</v>
      </c>
      <c r="J129" s="130">
        <v>55000</v>
      </c>
      <c r="K129" s="131">
        <v>0</v>
      </c>
      <c r="L129" s="138">
        <v>22500</v>
      </c>
      <c r="M129" s="139">
        <v>90000</v>
      </c>
      <c r="N129" s="140">
        <v>90000</v>
      </c>
      <c r="O129" s="113"/>
    </row>
    <row r="130" spans="1:15" ht="9.75" customHeight="1">
      <c r="A130" s="103"/>
      <c r="B130" s="225"/>
      <c r="C130" s="236"/>
      <c r="D130" s="204"/>
      <c r="E130" s="204"/>
      <c r="F130" s="204"/>
      <c r="G130" s="237"/>
      <c r="H130" s="229"/>
      <c r="I130" s="168"/>
      <c r="J130" s="238"/>
      <c r="K130" s="207"/>
      <c r="L130" s="207"/>
      <c r="M130" s="208"/>
      <c r="N130" s="209"/>
      <c r="O130" s="113"/>
    </row>
    <row r="131" spans="1:15" ht="47.25">
      <c r="A131" s="103"/>
      <c r="B131" s="173" t="s">
        <v>369</v>
      </c>
      <c r="C131" s="190" t="s">
        <v>99</v>
      </c>
      <c r="D131" s="191" t="s">
        <v>168</v>
      </c>
      <c r="E131" s="192" t="s">
        <v>168</v>
      </c>
      <c r="F131" s="192" t="s">
        <v>168</v>
      </c>
      <c r="G131" s="191" t="s">
        <v>169</v>
      </c>
      <c r="H131" s="176" t="s">
        <v>168</v>
      </c>
      <c r="I131" s="239"/>
      <c r="J131" s="193">
        <f>J139+J132</f>
        <v>383600</v>
      </c>
      <c r="K131" s="194">
        <f>K139+K132</f>
        <v>0</v>
      </c>
      <c r="L131" s="194">
        <f>L139+L132</f>
        <v>363600</v>
      </c>
      <c r="M131" s="195">
        <f>M139+M132</f>
        <v>363600</v>
      </c>
      <c r="N131" s="196">
        <f>N139+N132</f>
        <v>363600</v>
      </c>
      <c r="O131" s="113"/>
    </row>
    <row r="132" spans="1:15" ht="25.5">
      <c r="A132" s="103"/>
      <c r="B132" s="240" t="s">
        <v>275</v>
      </c>
      <c r="C132" s="241" t="s">
        <v>99</v>
      </c>
      <c r="D132" s="242" t="s">
        <v>170</v>
      </c>
      <c r="E132" s="163" t="s">
        <v>168</v>
      </c>
      <c r="F132" s="163" t="s">
        <v>168</v>
      </c>
      <c r="G132" s="242" t="s">
        <v>169</v>
      </c>
      <c r="H132" s="157" t="s">
        <v>168</v>
      </c>
      <c r="I132" s="243"/>
      <c r="J132" s="110">
        <f>J133</f>
        <v>13600</v>
      </c>
      <c r="K132" s="111">
        <f>K133</f>
        <v>0</v>
      </c>
      <c r="L132" s="111">
        <f>L133</f>
        <v>13600</v>
      </c>
      <c r="M132" s="112">
        <f>M133</f>
        <v>13600</v>
      </c>
      <c r="N132" s="119">
        <f>N133</f>
        <v>13600</v>
      </c>
      <c r="O132" s="113"/>
    </row>
    <row r="133" spans="1:15" ht="18.75">
      <c r="A133" s="103"/>
      <c r="B133" s="197" t="s">
        <v>274</v>
      </c>
      <c r="C133" s="158" t="s">
        <v>99</v>
      </c>
      <c r="D133" s="159" t="s">
        <v>170</v>
      </c>
      <c r="E133" s="126" t="s">
        <v>168</v>
      </c>
      <c r="F133" s="126" t="s">
        <v>168</v>
      </c>
      <c r="G133" s="159" t="s">
        <v>276</v>
      </c>
      <c r="H133" s="128" t="s">
        <v>168</v>
      </c>
      <c r="I133" s="244"/>
      <c r="J133" s="130">
        <f>J134+J136</f>
        <v>13600</v>
      </c>
      <c r="K133" s="131">
        <f>K134+K136</f>
        <v>0</v>
      </c>
      <c r="L133" s="131">
        <f>L134+L136</f>
        <v>13600</v>
      </c>
      <c r="M133" s="132">
        <f>M134+M136</f>
        <v>13600</v>
      </c>
      <c r="N133" s="133">
        <f>N134+N136</f>
        <v>13600</v>
      </c>
      <c r="O133" s="113"/>
    </row>
    <row r="134" spans="1:15" ht="25.5">
      <c r="A134" s="103"/>
      <c r="B134" s="197" t="s">
        <v>73</v>
      </c>
      <c r="C134" s="158" t="s">
        <v>99</v>
      </c>
      <c r="D134" s="159" t="s">
        <v>170</v>
      </c>
      <c r="E134" s="126" t="s">
        <v>168</v>
      </c>
      <c r="F134" s="126" t="s">
        <v>168</v>
      </c>
      <c r="G134" s="159" t="s">
        <v>276</v>
      </c>
      <c r="H134" s="128" t="s">
        <v>168</v>
      </c>
      <c r="I134" s="244" t="s">
        <v>74</v>
      </c>
      <c r="J134" s="130">
        <f>J135</f>
        <v>3600</v>
      </c>
      <c r="K134" s="131">
        <f>K135</f>
        <v>0</v>
      </c>
      <c r="L134" s="131">
        <f>L135</f>
        <v>3600</v>
      </c>
      <c r="M134" s="132">
        <f>M135</f>
        <v>3600</v>
      </c>
      <c r="N134" s="133">
        <f>N135</f>
        <v>3600</v>
      </c>
      <c r="O134" s="113"/>
    </row>
    <row r="135" spans="1:15" ht="25.5">
      <c r="A135" s="103"/>
      <c r="B135" s="197" t="s">
        <v>75</v>
      </c>
      <c r="C135" s="158" t="s">
        <v>99</v>
      </c>
      <c r="D135" s="159" t="s">
        <v>170</v>
      </c>
      <c r="E135" s="126" t="s">
        <v>168</v>
      </c>
      <c r="F135" s="126" t="s">
        <v>168</v>
      </c>
      <c r="G135" s="159" t="s">
        <v>276</v>
      </c>
      <c r="H135" s="128" t="s">
        <v>168</v>
      </c>
      <c r="I135" s="244" t="s">
        <v>76</v>
      </c>
      <c r="J135" s="130">
        <v>3600</v>
      </c>
      <c r="K135" s="131">
        <v>0</v>
      </c>
      <c r="L135" s="131">
        <v>3600</v>
      </c>
      <c r="M135" s="132">
        <v>3600</v>
      </c>
      <c r="N135" s="133">
        <v>3600</v>
      </c>
      <c r="O135" s="113"/>
    </row>
    <row r="136" spans="1:15" ht="13.5" customHeight="1">
      <c r="A136" s="103"/>
      <c r="B136" s="235" t="s">
        <v>188</v>
      </c>
      <c r="C136" s="158" t="s">
        <v>99</v>
      </c>
      <c r="D136" s="159" t="s">
        <v>170</v>
      </c>
      <c r="E136" s="126" t="s">
        <v>168</v>
      </c>
      <c r="F136" s="126" t="s">
        <v>168</v>
      </c>
      <c r="G136" s="159" t="s">
        <v>276</v>
      </c>
      <c r="H136" s="128" t="s">
        <v>168</v>
      </c>
      <c r="I136" s="244" t="s">
        <v>78</v>
      </c>
      <c r="J136" s="130">
        <f>J137</f>
        <v>10000</v>
      </c>
      <c r="K136" s="131">
        <f>K137</f>
        <v>0</v>
      </c>
      <c r="L136" s="131">
        <f>L137</f>
        <v>10000</v>
      </c>
      <c r="M136" s="132">
        <f>M137</f>
        <v>10000</v>
      </c>
      <c r="N136" s="133">
        <f>N137</f>
        <v>10000</v>
      </c>
      <c r="O136" s="113"/>
    </row>
    <row r="137" spans="1:15" ht="18.75">
      <c r="A137" s="103"/>
      <c r="B137" s="134" t="s">
        <v>189</v>
      </c>
      <c r="C137" s="158" t="s">
        <v>99</v>
      </c>
      <c r="D137" s="159" t="s">
        <v>170</v>
      </c>
      <c r="E137" s="126" t="s">
        <v>168</v>
      </c>
      <c r="F137" s="126" t="s">
        <v>168</v>
      </c>
      <c r="G137" s="159" t="s">
        <v>276</v>
      </c>
      <c r="H137" s="128" t="s">
        <v>168</v>
      </c>
      <c r="I137" s="244" t="s">
        <v>187</v>
      </c>
      <c r="J137" s="130">
        <v>10000</v>
      </c>
      <c r="K137" s="131">
        <v>0</v>
      </c>
      <c r="L137" s="131">
        <v>10000</v>
      </c>
      <c r="M137" s="132">
        <v>10000</v>
      </c>
      <c r="N137" s="133">
        <v>10000</v>
      </c>
      <c r="O137" s="113"/>
    </row>
    <row r="138" spans="1:15" ht="6.75" customHeight="1">
      <c r="A138" s="103"/>
      <c r="B138" s="189"/>
      <c r="C138" s="115"/>
      <c r="D138" s="116"/>
      <c r="E138" s="136"/>
      <c r="F138" s="136"/>
      <c r="G138" s="116"/>
      <c r="H138" s="128"/>
      <c r="I138" s="245"/>
      <c r="J138" s="110"/>
      <c r="K138" s="111"/>
      <c r="L138" s="111"/>
      <c r="M138" s="112"/>
      <c r="N138" s="119"/>
      <c r="O138" s="113"/>
    </row>
    <row r="139" spans="1:15" s="122" customFormat="1" ht="25.5">
      <c r="A139" s="120"/>
      <c r="B139" s="240" t="s">
        <v>370</v>
      </c>
      <c r="C139" s="246" t="s">
        <v>99</v>
      </c>
      <c r="D139" s="247" t="s">
        <v>166</v>
      </c>
      <c r="E139" s="156" t="s">
        <v>168</v>
      </c>
      <c r="F139" s="156" t="s">
        <v>168</v>
      </c>
      <c r="G139" s="247" t="s">
        <v>169</v>
      </c>
      <c r="H139" s="157" t="s">
        <v>168</v>
      </c>
      <c r="I139" s="243"/>
      <c r="J139" s="248">
        <f aca="true" t="shared" si="23" ref="J139:N141">J140</f>
        <v>370000</v>
      </c>
      <c r="K139" s="249">
        <f t="shared" si="23"/>
        <v>0</v>
      </c>
      <c r="L139" s="249">
        <f>L140</f>
        <v>350000</v>
      </c>
      <c r="M139" s="250">
        <f>M140</f>
        <v>350000</v>
      </c>
      <c r="N139" s="251">
        <f>N140</f>
        <v>350000</v>
      </c>
      <c r="O139" s="113"/>
    </row>
    <row r="140" spans="1:15" s="122" customFormat="1" ht="18.75">
      <c r="A140" s="120"/>
      <c r="B140" s="134" t="s">
        <v>292</v>
      </c>
      <c r="C140" s="158" t="s">
        <v>99</v>
      </c>
      <c r="D140" s="159" t="s">
        <v>166</v>
      </c>
      <c r="E140" s="126" t="s">
        <v>168</v>
      </c>
      <c r="F140" s="126" t="s">
        <v>168</v>
      </c>
      <c r="G140" s="159" t="s">
        <v>22</v>
      </c>
      <c r="H140" s="128" t="s">
        <v>168</v>
      </c>
      <c r="I140" s="244"/>
      <c r="J140" s="145">
        <f t="shared" si="23"/>
        <v>370000</v>
      </c>
      <c r="K140" s="146">
        <f t="shared" si="23"/>
        <v>0</v>
      </c>
      <c r="L140" s="146">
        <f t="shared" si="23"/>
        <v>350000</v>
      </c>
      <c r="M140" s="147">
        <f t="shared" si="23"/>
        <v>350000</v>
      </c>
      <c r="N140" s="148">
        <f t="shared" si="23"/>
        <v>350000</v>
      </c>
      <c r="O140" s="113"/>
    </row>
    <row r="141" spans="1:15" s="122" customFormat="1" ht="25.5">
      <c r="A141" s="120"/>
      <c r="B141" s="134" t="s">
        <v>29</v>
      </c>
      <c r="C141" s="158" t="s">
        <v>99</v>
      </c>
      <c r="D141" s="159" t="s">
        <v>166</v>
      </c>
      <c r="E141" s="126" t="s">
        <v>168</v>
      </c>
      <c r="F141" s="126" t="s">
        <v>168</v>
      </c>
      <c r="G141" s="159" t="s">
        <v>22</v>
      </c>
      <c r="H141" s="128" t="s">
        <v>168</v>
      </c>
      <c r="I141" s="244" t="s">
        <v>182</v>
      </c>
      <c r="J141" s="145">
        <f t="shared" si="23"/>
        <v>370000</v>
      </c>
      <c r="K141" s="146">
        <f t="shared" si="23"/>
        <v>0</v>
      </c>
      <c r="L141" s="146">
        <f t="shared" si="23"/>
        <v>350000</v>
      </c>
      <c r="M141" s="147">
        <f t="shared" si="23"/>
        <v>350000</v>
      </c>
      <c r="N141" s="148">
        <f t="shared" si="23"/>
        <v>350000</v>
      </c>
      <c r="O141" s="113"/>
    </row>
    <row r="142" spans="1:15" s="122" customFormat="1" ht="18.75">
      <c r="A142" s="120"/>
      <c r="B142" s="134" t="s">
        <v>30</v>
      </c>
      <c r="C142" s="158" t="s">
        <v>99</v>
      </c>
      <c r="D142" s="159" t="s">
        <v>166</v>
      </c>
      <c r="E142" s="126" t="s">
        <v>168</v>
      </c>
      <c r="F142" s="126" t="s">
        <v>168</v>
      </c>
      <c r="G142" s="159" t="s">
        <v>22</v>
      </c>
      <c r="H142" s="128" t="s">
        <v>168</v>
      </c>
      <c r="I142" s="244" t="s">
        <v>31</v>
      </c>
      <c r="J142" s="145">
        <f>200000+70000+100000</f>
        <v>370000</v>
      </c>
      <c r="K142" s="146">
        <v>0</v>
      </c>
      <c r="L142" s="146">
        <f>70000+200000+80000</f>
        <v>350000</v>
      </c>
      <c r="M142" s="147">
        <f>70000+200000+80000</f>
        <v>350000</v>
      </c>
      <c r="N142" s="148">
        <f>70000+200000+80000</f>
        <v>350000</v>
      </c>
      <c r="O142" s="113"/>
    </row>
    <row r="143" spans="1:15" s="122" customFormat="1" ht="2.25" customHeight="1">
      <c r="A143" s="120"/>
      <c r="B143" s="225"/>
      <c r="C143" s="252"/>
      <c r="D143" s="253"/>
      <c r="E143" s="204"/>
      <c r="F143" s="204"/>
      <c r="G143" s="253"/>
      <c r="H143" s="229"/>
      <c r="I143" s="254"/>
      <c r="J143" s="169"/>
      <c r="K143" s="170"/>
      <c r="L143" s="170"/>
      <c r="M143" s="171"/>
      <c r="N143" s="172"/>
      <c r="O143" s="113"/>
    </row>
    <row r="144" spans="1:15" ht="13.5" customHeight="1">
      <c r="A144" s="103"/>
      <c r="B144" s="197"/>
      <c r="C144" s="255"/>
      <c r="D144" s="256"/>
      <c r="E144" s="256"/>
      <c r="F144" s="256"/>
      <c r="G144" s="256"/>
      <c r="H144" s="244"/>
      <c r="I144" s="201"/>
      <c r="J144" s="145"/>
      <c r="K144" s="146"/>
      <c r="L144" s="217"/>
      <c r="M144" s="218"/>
      <c r="N144" s="219"/>
      <c r="O144" s="113"/>
    </row>
    <row r="145" spans="1:15" s="122" customFormat="1" ht="31.5">
      <c r="A145" s="257"/>
      <c r="B145" s="114" t="s">
        <v>290</v>
      </c>
      <c r="C145" s="258" t="s">
        <v>100</v>
      </c>
      <c r="D145" s="156" t="s">
        <v>168</v>
      </c>
      <c r="E145" s="156" t="s">
        <v>168</v>
      </c>
      <c r="F145" s="156" t="s">
        <v>168</v>
      </c>
      <c r="G145" s="156" t="s">
        <v>169</v>
      </c>
      <c r="H145" s="157" t="s">
        <v>168</v>
      </c>
      <c r="I145" s="259"/>
      <c r="J145" s="110">
        <f aca="true" t="shared" si="24" ref="J145:L147">J146</f>
        <v>990000</v>
      </c>
      <c r="K145" s="111">
        <f t="shared" si="24"/>
        <v>0</v>
      </c>
      <c r="L145" s="111">
        <f t="shared" si="24"/>
        <v>1153242.74</v>
      </c>
      <c r="M145" s="112">
        <f aca="true" t="shared" si="25" ref="M145:N147">M146</f>
        <v>1038957.43</v>
      </c>
      <c r="N145" s="119">
        <f t="shared" si="25"/>
        <v>0</v>
      </c>
      <c r="O145" s="113"/>
    </row>
    <row r="146" spans="1:15" ht="12.75">
      <c r="A146" s="260"/>
      <c r="B146" s="123" t="s">
        <v>251</v>
      </c>
      <c r="C146" s="124" t="s">
        <v>100</v>
      </c>
      <c r="D146" s="126" t="s">
        <v>168</v>
      </c>
      <c r="E146" s="126" t="s">
        <v>168</v>
      </c>
      <c r="F146" s="126" t="s">
        <v>168</v>
      </c>
      <c r="G146" s="126" t="s">
        <v>247</v>
      </c>
      <c r="H146" s="128" t="s">
        <v>168</v>
      </c>
      <c r="I146" s="137"/>
      <c r="J146" s="130">
        <f t="shared" si="24"/>
        <v>990000</v>
      </c>
      <c r="K146" s="131">
        <f t="shared" si="24"/>
        <v>0</v>
      </c>
      <c r="L146" s="131">
        <f t="shared" si="24"/>
        <v>1153242.74</v>
      </c>
      <c r="M146" s="132">
        <f t="shared" si="25"/>
        <v>1038957.43</v>
      </c>
      <c r="N146" s="133">
        <f t="shared" si="25"/>
        <v>0</v>
      </c>
      <c r="O146" s="113"/>
    </row>
    <row r="147" spans="1:15" ht="12.75">
      <c r="A147" s="260"/>
      <c r="B147" s="134" t="s">
        <v>77</v>
      </c>
      <c r="C147" s="124" t="s">
        <v>100</v>
      </c>
      <c r="D147" s="126" t="s">
        <v>168</v>
      </c>
      <c r="E147" s="126" t="s">
        <v>168</v>
      </c>
      <c r="F147" s="126" t="s">
        <v>168</v>
      </c>
      <c r="G147" s="126" t="s">
        <v>247</v>
      </c>
      <c r="H147" s="128" t="s">
        <v>168</v>
      </c>
      <c r="I147" s="137" t="s">
        <v>78</v>
      </c>
      <c r="J147" s="130">
        <f t="shared" si="24"/>
        <v>990000</v>
      </c>
      <c r="K147" s="131">
        <f t="shared" si="24"/>
        <v>0</v>
      </c>
      <c r="L147" s="131">
        <f t="shared" si="24"/>
        <v>1153242.74</v>
      </c>
      <c r="M147" s="132">
        <f t="shared" si="25"/>
        <v>1038957.43</v>
      </c>
      <c r="N147" s="133">
        <f t="shared" si="25"/>
        <v>0</v>
      </c>
      <c r="O147" s="113"/>
    </row>
    <row r="148" spans="1:15" ht="25.5">
      <c r="A148" s="260"/>
      <c r="B148" s="134" t="s">
        <v>79</v>
      </c>
      <c r="C148" s="124" t="s">
        <v>100</v>
      </c>
      <c r="D148" s="126" t="s">
        <v>168</v>
      </c>
      <c r="E148" s="126" t="s">
        <v>168</v>
      </c>
      <c r="F148" s="126" t="s">
        <v>168</v>
      </c>
      <c r="G148" s="126" t="s">
        <v>247</v>
      </c>
      <c r="H148" s="128" t="s">
        <v>168</v>
      </c>
      <c r="I148" s="137" t="s">
        <v>80</v>
      </c>
      <c r="J148" s="130">
        <v>990000</v>
      </c>
      <c r="K148" s="131">
        <v>0</v>
      </c>
      <c r="L148" s="138">
        <v>1153242.74</v>
      </c>
      <c r="M148" s="139">
        <v>1038957.43</v>
      </c>
      <c r="N148" s="140">
        <v>0</v>
      </c>
      <c r="O148" s="113"/>
    </row>
    <row r="149" spans="1:15" ht="8.25" customHeight="1">
      <c r="A149" s="260"/>
      <c r="B149" s="225"/>
      <c r="C149" s="261"/>
      <c r="D149" s="262"/>
      <c r="E149" s="262"/>
      <c r="F149" s="262"/>
      <c r="G149" s="262"/>
      <c r="H149" s="263"/>
      <c r="I149" s="264"/>
      <c r="J149" s="238"/>
      <c r="K149" s="207"/>
      <c r="L149" s="207"/>
      <c r="M149" s="208"/>
      <c r="N149" s="209"/>
      <c r="O149" s="113"/>
    </row>
    <row r="150" spans="1:15" s="122" customFormat="1" ht="56.25" customHeight="1">
      <c r="A150" s="257"/>
      <c r="B150" s="114" t="s">
        <v>269</v>
      </c>
      <c r="C150" s="265" t="s">
        <v>111</v>
      </c>
      <c r="D150" s="192" t="s">
        <v>168</v>
      </c>
      <c r="E150" s="192" t="s">
        <v>168</v>
      </c>
      <c r="F150" s="192" t="s">
        <v>168</v>
      </c>
      <c r="G150" s="192" t="s">
        <v>169</v>
      </c>
      <c r="H150" s="176" t="s">
        <v>168</v>
      </c>
      <c r="I150" s="259"/>
      <c r="J150" s="193">
        <f aca="true" t="shared" si="26" ref="J150:L152">J151</f>
        <v>540000</v>
      </c>
      <c r="K150" s="194">
        <f t="shared" si="26"/>
        <v>0</v>
      </c>
      <c r="L150" s="194">
        <f t="shared" si="26"/>
        <v>540000</v>
      </c>
      <c r="M150" s="195">
        <f aca="true" t="shared" si="27" ref="M150:N152">M151</f>
        <v>540000</v>
      </c>
      <c r="N150" s="196">
        <f t="shared" si="27"/>
        <v>540000</v>
      </c>
      <c r="O150" s="113"/>
    </row>
    <row r="151" spans="1:15" ht="16.5" customHeight="1">
      <c r="A151" s="260"/>
      <c r="B151" s="123" t="s">
        <v>270</v>
      </c>
      <c r="C151" s="124" t="s">
        <v>111</v>
      </c>
      <c r="D151" s="126" t="s">
        <v>168</v>
      </c>
      <c r="E151" s="126" t="s">
        <v>168</v>
      </c>
      <c r="F151" s="126" t="s">
        <v>168</v>
      </c>
      <c r="G151" s="126" t="s">
        <v>271</v>
      </c>
      <c r="H151" s="128" t="s">
        <v>168</v>
      </c>
      <c r="I151" s="137"/>
      <c r="J151" s="130">
        <f t="shared" si="26"/>
        <v>540000</v>
      </c>
      <c r="K151" s="131">
        <f t="shared" si="26"/>
        <v>0</v>
      </c>
      <c r="L151" s="131">
        <f t="shared" si="26"/>
        <v>540000</v>
      </c>
      <c r="M151" s="132">
        <f t="shared" si="27"/>
        <v>540000</v>
      </c>
      <c r="N151" s="133">
        <f t="shared" si="27"/>
        <v>540000</v>
      </c>
      <c r="O151" s="113"/>
    </row>
    <row r="152" spans="1:15" ht="12.75">
      <c r="A152" s="260"/>
      <c r="B152" s="134" t="s">
        <v>77</v>
      </c>
      <c r="C152" s="124" t="s">
        <v>111</v>
      </c>
      <c r="D152" s="126" t="s">
        <v>168</v>
      </c>
      <c r="E152" s="126" t="s">
        <v>168</v>
      </c>
      <c r="F152" s="126" t="s">
        <v>168</v>
      </c>
      <c r="G152" s="126" t="s">
        <v>271</v>
      </c>
      <c r="H152" s="128" t="s">
        <v>168</v>
      </c>
      <c r="I152" s="137" t="s">
        <v>78</v>
      </c>
      <c r="J152" s="130">
        <f t="shared" si="26"/>
        <v>540000</v>
      </c>
      <c r="K152" s="131">
        <f t="shared" si="26"/>
        <v>0</v>
      </c>
      <c r="L152" s="131">
        <f t="shared" si="26"/>
        <v>540000</v>
      </c>
      <c r="M152" s="132">
        <f t="shared" si="27"/>
        <v>540000</v>
      </c>
      <c r="N152" s="133">
        <f t="shared" si="27"/>
        <v>540000</v>
      </c>
      <c r="O152" s="113"/>
    </row>
    <row r="153" spans="1:15" ht="25.5">
      <c r="A153" s="260"/>
      <c r="B153" s="134" t="s">
        <v>79</v>
      </c>
      <c r="C153" s="124" t="s">
        <v>111</v>
      </c>
      <c r="D153" s="126" t="s">
        <v>168</v>
      </c>
      <c r="E153" s="126" t="s">
        <v>168</v>
      </c>
      <c r="F153" s="126" t="s">
        <v>168</v>
      </c>
      <c r="G153" s="126" t="s">
        <v>271</v>
      </c>
      <c r="H153" s="128" t="s">
        <v>168</v>
      </c>
      <c r="I153" s="137" t="s">
        <v>80</v>
      </c>
      <c r="J153" s="130">
        <v>540000</v>
      </c>
      <c r="K153" s="131">
        <v>0</v>
      </c>
      <c r="L153" s="138">
        <v>540000</v>
      </c>
      <c r="M153" s="139">
        <v>540000</v>
      </c>
      <c r="N153" s="140">
        <v>540000</v>
      </c>
      <c r="O153" s="113"/>
    </row>
    <row r="154" spans="1:15" ht="5.25" customHeight="1">
      <c r="A154" s="260"/>
      <c r="B154" s="225"/>
      <c r="C154" s="236"/>
      <c r="D154" s="204"/>
      <c r="E154" s="204"/>
      <c r="F154" s="204"/>
      <c r="G154" s="204"/>
      <c r="H154" s="229"/>
      <c r="I154" s="264"/>
      <c r="J154" s="238"/>
      <c r="K154" s="207"/>
      <c r="L154" s="207"/>
      <c r="M154" s="208"/>
      <c r="N154" s="209"/>
      <c r="O154" s="113"/>
    </row>
    <row r="155" spans="1:15" ht="7.5" customHeight="1">
      <c r="A155" s="260"/>
      <c r="B155" s="134"/>
      <c r="C155" s="144"/>
      <c r="D155" s="136"/>
      <c r="E155" s="136"/>
      <c r="F155" s="136"/>
      <c r="G155" s="136"/>
      <c r="H155" s="266"/>
      <c r="I155" s="137"/>
      <c r="J155" s="267"/>
      <c r="K155" s="268"/>
      <c r="L155" s="268"/>
      <c r="M155" s="269"/>
      <c r="N155" s="270"/>
      <c r="O155" s="113"/>
    </row>
    <row r="156" spans="1:15" s="122" customFormat="1" ht="47.25">
      <c r="A156" s="257"/>
      <c r="B156" s="114" t="s">
        <v>324</v>
      </c>
      <c r="C156" s="258" t="s">
        <v>113</v>
      </c>
      <c r="D156" s="156" t="s">
        <v>168</v>
      </c>
      <c r="E156" s="156" t="s">
        <v>168</v>
      </c>
      <c r="F156" s="156" t="s">
        <v>168</v>
      </c>
      <c r="G156" s="156" t="s">
        <v>169</v>
      </c>
      <c r="H156" s="157" t="s">
        <v>168</v>
      </c>
      <c r="I156" s="259"/>
      <c r="J156" s="110">
        <f>J157</f>
        <v>1584000</v>
      </c>
      <c r="K156" s="111">
        <f>K157</f>
        <v>0</v>
      </c>
      <c r="L156" s="111">
        <f>L157</f>
        <v>1217000</v>
      </c>
      <c r="M156" s="112">
        <f>M157</f>
        <v>1096000</v>
      </c>
      <c r="N156" s="119">
        <f>N157</f>
        <v>0</v>
      </c>
      <c r="O156" s="113"/>
    </row>
    <row r="157" spans="1:15" ht="12.75">
      <c r="A157" s="260"/>
      <c r="B157" s="134" t="s">
        <v>171</v>
      </c>
      <c r="C157" s="144" t="s">
        <v>113</v>
      </c>
      <c r="D157" s="136" t="s">
        <v>168</v>
      </c>
      <c r="E157" s="136" t="s">
        <v>168</v>
      </c>
      <c r="F157" s="136" t="s">
        <v>168</v>
      </c>
      <c r="G157" s="136" t="s">
        <v>172</v>
      </c>
      <c r="H157" s="128" t="s">
        <v>168</v>
      </c>
      <c r="I157" s="137"/>
      <c r="J157" s="130">
        <f>J160+J158</f>
        <v>1584000</v>
      </c>
      <c r="K157" s="131">
        <f>K160+K158</f>
        <v>0</v>
      </c>
      <c r="L157" s="131">
        <f>L160+L158</f>
        <v>1217000</v>
      </c>
      <c r="M157" s="132">
        <f>M160+M158</f>
        <v>1096000</v>
      </c>
      <c r="N157" s="133">
        <f>N160+N158</f>
        <v>0</v>
      </c>
      <c r="O157" s="113"/>
    </row>
    <row r="158" spans="1:15" ht="25.5">
      <c r="A158" s="260"/>
      <c r="B158" s="134" t="s">
        <v>73</v>
      </c>
      <c r="C158" s="144" t="s">
        <v>113</v>
      </c>
      <c r="D158" s="136" t="s">
        <v>168</v>
      </c>
      <c r="E158" s="136" t="s">
        <v>168</v>
      </c>
      <c r="F158" s="136" t="s">
        <v>168</v>
      </c>
      <c r="G158" s="136" t="s">
        <v>172</v>
      </c>
      <c r="H158" s="128" t="s">
        <v>168</v>
      </c>
      <c r="I158" s="137" t="s">
        <v>74</v>
      </c>
      <c r="J158" s="130">
        <f>J159</f>
        <v>400000</v>
      </c>
      <c r="K158" s="131">
        <f>K159</f>
        <v>0</v>
      </c>
      <c r="L158" s="138">
        <f>L159</f>
        <v>320000</v>
      </c>
      <c r="M158" s="139">
        <f>M159</f>
        <v>0</v>
      </c>
      <c r="N158" s="140">
        <f>N159</f>
        <v>0</v>
      </c>
      <c r="O158" s="113"/>
    </row>
    <row r="159" spans="1:15" ht="25.5">
      <c r="A159" s="260"/>
      <c r="B159" s="134" t="s">
        <v>75</v>
      </c>
      <c r="C159" s="144" t="s">
        <v>113</v>
      </c>
      <c r="D159" s="136" t="s">
        <v>168</v>
      </c>
      <c r="E159" s="136" t="s">
        <v>168</v>
      </c>
      <c r="F159" s="136" t="s">
        <v>168</v>
      </c>
      <c r="G159" s="136" t="s">
        <v>172</v>
      </c>
      <c r="H159" s="128" t="s">
        <v>168</v>
      </c>
      <c r="I159" s="137" t="s">
        <v>76</v>
      </c>
      <c r="J159" s="130">
        <v>400000</v>
      </c>
      <c r="K159" s="131">
        <v>0</v>
      </c>
      <c r="L159" s="138">
        <v>320000</v>
      </c>
      <c r="M159" s="139">
        <v>0</v>
      </c>
      <c r="N159" s="140">
        <v>0</v>
      </c>
      <c r="O159" s="113"/>
    </row>
    <row r="160" spans="1:15" ht="12.75">
      <c r="A160" s="260"/>
      <c r="B160" s="134" t="s">
        <v>83</v>
      </c>
      <c r="C160" s="271" t="s">
        <v>113</v>
      </c>
      <c r="D160" s="272" t="s">
        <v>168</v>
      </c>
      <c r="E160" s="136" t="s">
        <v>168</v>
      </c>
      <c r="F160" s="136" t="s">
        <v>168</v>
      </c>
      <c r="G160" s="160" t="s">
        <v>172</v>
      </c>
      <c r="H160" s="128" t="s">
        <v>168</v>
      </c>
      <c r="I160" s="129" t="s">
        <v>84</v>
      </c>
      <c r="J160" s="130">
        <f>J161</f>
        <v>1184000</v>
      </c>
      <c r="K160" s="131">
        <f>K161</f>
        <v>0</v>
      </c>
      <c r="L160" s="138">
        <f>L161</f>
        <v>897000</v>
      </c>
      <c r="M160" s="139">
        <f>M161</f>
        <v>1096000</v>
      </c>
      <c r="N160" s="140">
        <f>N161</f>
        <v>0</v>
      </c>
      <c r="O160" s="113"/>
    </row>
    <row r="161" spans="1:15" ht="38.25">
      <c r="A161" s="260"/>
      <c r="B161" s="134" t="s">
        <v>209</v>
      </c>
      <c r="C161" s="271" t="s">
        <v>113</v>
      </c>
      <c r="D161" s="272" t="s">
        <v>168</v>
      </c>
      <c r="E161" s="136" t="s">
        <v>168</v>
      </c>
      <c r="F161" s="136" t="s">
        <v>168</v>
      </c>
      <c r="G161" s="160" t="s">
        <v>172</v>
      </c>
      <c r="H161" s="128" t="s">
        <v>168</v>
      </c>
      <c r="I161" s="129" t="s">
        <v>173</v>
      </c>
      <c r="J161" s="154">
        <v>1184000</v>
      </c>
      <c r="K161" s="138">
        <v>0</v>
      </c>
      <c r="L161" s="138">
        <v>897000</v>
      </c>
      <c r="M161" s="139">
        <v>1096000</v>
      </c>
      <c r="N161" s="140">
        <v>0</v>
      </c>
      <c r="O161" s="113"/>
    </row>
    <row r="162" spans="1:15" ht="12.75">
      <c r="A162" s="260"/>
      <c r="B162" s="134"/>
      <c r="C162" s="273"/>
      <c r="D162" s="274"/>
      <c r="E162" s="262"/>
      <c r="F162" s="262"/>
      <c r="G162" s="275"/>
      <c r="H162" s="229"/>
      <c r="I162" s="230"/>
      <c r="J162" s="238"/>
      <c r="K162" s="207"/>
      <c r="L162" s="207"/>
      <c r="M162" s="208"/>
      <c r="N162" s="209"/>
      <c r="O162" s="113"/>
    </row>
    <row r="163" spans="1:15" ht="12.75">
      <c r="A163" s="260"/>
      <c r="B163" s="210"/>
      <c r="C163" s="276"/>
      <c r="D163" s="277"/>
      <c r="E163" s="277"/>
      <c r="F163" s="277"/>
      <c r="G163" s="277"/>
      <c r="H163" s="278"/>
      <c r="I163" s="177"/>
      <c r="J163" s="267"/>
      <c r="K163" s="268"/>
      <c r="L163" s="268"/>
      <c r="M163" s="269"/>
      <c r="N163" s="270"/>
      <c r="O163" s="113"/>
    </row>
    <row r="164" spans="1:15" ht="129.75" customHeight="1">
      <c r="A164" s="260"/>
      <c r="B164" s="189" t="s">
        <v>371</v>
      </c>
      <c r="C164" s="115" t="s">
        <v>121</v>
      </c>
      <c r="D164" s="116" t="s">
        <v>168</v>
      </c>
      <c r="E164" s="156" t="s">
        <v>168</v>
      </c>
      <c r="F164" s="156" t="s">
        <v>168</v>
      </c>
      <c r="G164" s="116" t="s">
        <v>169</v>
      </c>
      <c r="H164" s="157" t="s">
        <v>168</v>
      </c>
      <c r="I164" s="143"/>
      <c r="J164" s="110" t="e">
        <f>#REF!+J165+J168+J171+#REF!</f>
        <v>#REF!</v>
      </c>
      <c r="K164" s="111" t="e">
        <f>#REF!+K165+K168+K171+#REF!</f>
        <v>#REF!</v>
      </c>
      <c r="L164" s="111">
        <f>L167+L170+L173+L176+L179</f>
        <v>74927685.39</v>
      </c>
      <c r="M164" s="112">
        <f>M167+M170+M173+M176+M179</f>
        <v>43974702.489999995</v>
      </c>
      <c r="N164" s="119">
        <f>N167+N170+N173+N176+N179</f>
        <v>45118766.71</v>
      </c>
      <c r="O164" s="113"/>
    </row>
    <row r="165" spans="1:15" ht="63.75">
      <c r="A165" s="260"/>
      <c r="B165" s="185" t="s">
        <v>231</v>
      </c>
      <c r="C165" s="158" t="s">
        <v>121</v>
      </c>
      <c r="D165" s="159" t="s">
        <v>168</v>
      </c>
      <c r="E165" s="126" t="s">
        <v>168</v>
      </c>
      <c r="F165" s="126" t="s">
        <v>168</v>
      </c>
      <c r="G165" s="159" t="s">
        <v>232</v>
      </c>
      <c r="H165" s="128" t="s">
        <v>256</v>
      </c>
      <c r="I165" s="201"/>
      <c r="J165" s="145">
        <f aca="true" t="shared" si="28" ref="J165:N166">J166</f>
        <v>7566400</v>
      </c>
      <c r="K165" s="146">
        <f t="shared" si="28"/>
        <v>0</v>
      </c>
      <c r="L165" s="146">
        <f t="shared" si="28"/>
        <v>8275900</v>
      </c>
      <c r="M165" s="147">
        <f t="shared" si="28"/>
        <v>8275900</v>
      </c>
      <c r="N165" s="148">
        <f t="shared" si="28"/>
        <v>8275900</v>
      </c>
      <c r="O165" s="113"/>
    </row>
    <row r="166" spans="1:15" ht="12.75">
      <c r="A166" s="260"/>
      <c r="B166" s="197" t="s">
        <v>127</v>
      </c>
      <c r="C166" s="158" t="s">
        <v>121</v>
      </c>
      <c r="D166" s="159" t="s">
        <v>168</v>
      </c>
      <c r="E166" s="126" t="s">
        <v>168</v>
      </c>
      <c r="F166" s="126" t="s">
        <v>168</v>
      </c>
      <c r="G166" s="159" t="s">
        <v>232</v>
      </c>
      <c r="H166" s="128" t="s">
        <v>256</v>
      </c>
      <c r="I166" s="201" t="s">
        <v>140</v>
      </c>
      <c r="J166" s="145">
        <f t="shared" si="28"/>
        <v>7566400</v>
      </c>
      <c r="K166" s="146">
        <f t="shared" si="28"/>
        <v>0</v>
      </c>
      <c r="L166" s="146">
        <f t="shared" si="28"/>
        <v>8275900</v>
      </c>
      <c r="M166" s="147">
        <f t="shared" si="28"/>
        <v>8275900</v>
      </c>
      <c r="N166" s="148">
        <f t="shared" si="28"/>
        <v>8275900</v>
      </c>
      <c r="O166" s="113"/>
    </row>
    <row r="167" spans="1:15" ht="12.75">
      <c r="A167" s="260"/>
      <c r="B167" s="197" t="s">
        <v>141</v>
      </c>
      <c r="C167" s="158" t="s">
        <v>121</v>
      </c>
      <c r="D167" s="159" t="s">
        <v>168</v>
      </c>
      <c r="E167" s="126" t="s">
        <v>168</v>
      </c>
      <c r="F167" s="126" t="s">
        <v>168</v>
      </c>
      <c r="G167" s="159" t="s">
        <v>232</v>
      </c>
      <c r="H167" s="128" t="s">
        <v>256</v>
      </c>
      <c r="I167" s="201" t="s">
        <v>175</v>
      </c>
      <c r="J167" s="279">
        <v>7566400</v>
      </c>
      <c r="K167" s="149">
        <v>0</v>
      </c>
      <c r="L167" s="149">
        <v>8275900</v>
      </c>
      <c r="M167" s="150">
        <v>8275900</v>
      </c>
      <c r="N167" s="151">
        <v>8275900</v>
      </c>
      <c r="O167" s="113"/>
    </row>
    <row r="168" spans="1:15" ht="51">
      <c r="A168" s="260"/>
      <c r="B168" s="134" t="s">
        <v>260</v>
      </c>
      <c r="C168" s="124" t="s">
        <v>121</v>
      </c>
      <c r="D168" s="126" t="s">
        <v>168</v>
      </c>
      <c r="E168" s="126" t="s">
        <v>168</v>
      </c>
      <c r="F168" s="126" t="s">
        <v>168</v>
      </c>
      <c r="G168" s="126" t="s">
        <v>259</v>
      </c>
      <c r="H168" s="128" t="s">
        <v>256</v>
      </c>
      <c r="I168" s="137"/>
      <c r="J168" s="145">
        <f aca="true" t="shared" si="29" ref="J168:N169">J169</f>
        <v>9008886.68</v>
      </c>
      <c r="K168" s="146">
        <f t="shared" si="29"/>
        <v>0</v>
      </c>
      <c r="L168" s="146">
        <f t="shared" si="29"/>
        <v>13691659.39</v>
      </c>
      <c r="M168" s="147">
        <f t="shared" si="29"/>
        <v>22379144.979999997</v>
      </c>
      <c r="N168" s="148">
        <f t="shared" si="29"/>
        <v>23523209.200000003</v>
      </c>
      <c r="O168" s="113"/>
    </row>
    <row r="169" spans="1:15" ht="25.5">
      <c r="A169" s="260"/>
      <c r="B169" s="134" t="s">
        <v>73</v>
      </c>
      <c r="C169" s="124" t="s">
        <v>121</v>
      </c>
      <c r="D169" s="126" t="s">
        <v>168</v>
      </c>
      <c r="E169" s="126" t="s">
        <v>168</v>
      </c>
      <c r="F169" s="126" t="s">
        <v>168</v>
      </c>
      <c r="G169" s="126" t="s">
        <v>259</v>
      </c>
      <c r="H169" s="128" t="s">
        <v>256</v>
      </c>
      <c r="I169" s="137" t="s">
        <v>74</v>
      </c>
      <c r="J169" s="145">
        <f t="shared" si="29"/>
        <v>9008886.68</v>
      </c>
      <c r="K169" s="146">
        <f t="shared" si="29"/>
        <v>0</v>
      </c>
      <c r="L169" s="146">
        <f t="shared" si="29"/>
        <v>13691659.39</v>
      </c>
      <c r="M169" s="147">
        <f t="shared" si="29"/>
        <v>22379144.979999997</v>
      </c>
      <c r="N169" s="148">
        <f t="shared" si="29"/>
        <v>23523209.200000003</v>
      </c>
      <c r="O169" s="113"/>
    </row>
    <row r="170" spans="1:15" ht="25.5">
      <c r="A170" s="260"/>
      <c r="B170" s="134" t="s">
        <v>75</v>
      </c>
      <c r="C170" s="124" t="s">
        <v>121</v>
      </c>
      <c r="D170" s="126" t="s">
        <v>168</v>
      </c>
      <c r="E170" s="126" t="s">
        <v>168</v>
      </c>
      <c r="F170" s="126" t="s">
        <v>168</v>
      </c>
      <c r="G170" s="126" t="s">
        <v>259</v>
      </c>
      <c r="H170" s="128" t="s">
        <v>256</v>
      </c>
      <c r="I170" s="137" t="s">
        <v>76</v>
      </c>
      <c r="J170" s="279">
        <v>9008886.68</v>
      </c>
      <c r="K170" s="149">
        <v>0</v>
      </c>
      <c r="L170" s="149">
        <v>13691659.39</v>
      </c>
      <c r="M170" s="150">
        <f>34000944.98-M167-M173</f>
        <v>22379144.979999997</v>
      </c>
      <c r="N170" s="151">
        <f>35145009.2-N167-N173</f>
        <v>23523209.200000003</v>
      </c>
      <c r="O170" s="113"/>
    </row>
    <row r="171" spans="1:15" ht="51">
      <c r="A171" s="260"/>
      <c r="B171" s="134" t="s">
        <v>261</v>
      </c>
      <c r="C171" s="124" t="s">
        <v>121</v>
      </c>
      <c r="D171" s="126" t="s">
        <v>168</v>
      </c>
      <c r="E171" s="126" t="s">
        <v>168</v>
      </c>
      <c r="F171" s="126" t="s">
        <v>168</v>
      </c>
      <c r="G171" s="126" t="s">
        <v>262</v>
      </c>
      <c r="H171" s="128" t="s">
        <v>256</v>
      </c>
      <c r="I171" s="137"/>
      <c r="J171" s="145">
        <f aca="true" t="shared" si="30" ref="J171:N172">J172</f>
        <v>3731500</v>
      </c>
      <c r="K171" s="146">
        <f t="shared" si="30"/>
        <v>0</v>
      </c>
      <c r="L171" s="146">
        <f t="shared" si="30"/>
        <v>3345900</v>
      </c>
      <c r="M171" s="147">
        <f t="shared" si="30"/>
        <v>3345900</v>
      </c>
      <c r="N171" s="148">
        <f t="shared" si="30"/>
        <v>3345900</v>
      </c>
      <c r="O171" s="113"/>
    </row>
    <row r="172" spans="1:15" ht="12.75">
      <c r="A172" s="260"/>
      <c r="B172" s="197" t="s">
        <v>127</v>
      </c>
      <c r="C172" s="158" t="s">
        <v>121</v>
      </c>
      <c r="D172" s="159" t="s">
        <v>168</v>
      </c>
      <c r="E172" s="126" t="s">
        <v>168</v>
      </c>
      <c r="F172" s="126" t="s">
        <v>168</v>
      </c>
      <c r="G172" s="159" t="s">
        <v>262</v>
      </c>
      <c r="H172" s="128" t="s">
        <v>256</v>
      </c>
      <c r="I172" s="201" t="s">
        <v>140</v>
      </c>
      <c r="J172" s="145">
        <f t="shared" si="30"/>
        <v>3731500</v>
      </c>
      <c r="K172" s="146">
        <f t="shared" si="30"/>
        <v>0</v>
      </c>
      <c r="L172" s="146">
        <f t="shared" si="30"/>
        <v>3345900</v>
      </c>
      <c r="M172" s="147">
        <f t="shared" si="30"/>
        <v>3345900</v>
      </c>
      <c r="N172" s="148">
        <f t="shared" si="30"/>
        <v>3345900</v>
      </c>
      <c r="O172" s="113"/>
    </row>
    <row r="173" spans="1:15" ht="12.75">
      <c r="A173" s="260"/>
      <c r="B173" s="197" t="s">
        <v>141</v>
      </c>
      <c r="C173" s="158" t="s">
        <v>121</v>
      </c>
      <c r="D173" s="159" t="s">
        <v>168</v>
      </c>
      <c r="E173" s="126" t="s">
        <v>168</v>
      </c>
      <c r="F173" s="126" t="s">
        <v>168</v>
      </c>
      <c r="G173" s="159" t="s">
        <v>262</v>
      </c>
      <c r="H173" s="128" t="s">
        <v>256</v>
      </c>
      <c r="I173" s="201" t="s">
        <v>175</v>
      </c>
      <c r="J173" s="279">
        <f>3572500+159000</f>
        <v>3731500</v>
      </c>
      <c r="K173" s="149">
        <v>0</v>
      </c>
      <c r="L173" s="149">
        <v>3345900</v>
      </c>
      <c r="M173" s="150">
        <v>3345900</v>
      </c>
      <c r="N173" s="151">
        <v>3345900</v>
      </c>
      <c r="O173" s="113"/>
    </row>
    <row r="174" spans="1:15" ht="25.5">
      <c r="A174" s="260"/>
      <c r="B174" s="134" t="s">
        <v>317</v>
      </c>
      <c r="C174" s="158" t="s">
        <v>121</v>
      </c>
      <c r="D174" s="159" t="s">
        <v>168</v>
      </c>
      <c r="E174" s="126" t="s">
        <v>168</v>
      </c>
      <c r="F174" s="126" t="s">
        <v>168</v>
      </c>
      <c r="G174" s="159" t="s">
        <v>318</v>
      </c>
      <c r="H174" s="128" t="s">
        <v>168</v>
      </c>
      <c r="I174" s="201"/>
      <c r="J174" s="279"/>
      <c r="K174" s="149"/>
      <c r="L174" s="149">
        <f aca="true" t="shared" si="31" ref="L174:N175">L175</f>
        <v>5715630</v>
      </c>
      <c r="M174" s="150">
        <f t="shared" si="31"/>
        <v>9973757.51</v>
      </c>
      <c r="N174" s="151">
        <f t="shared" si="31"/>
        <v>9973757.51</v>
      </c>
      <c r="O174" s="113"/>
    </row>
    <row r="175" spans="1:15" ht="25.5">
      <c r="A175" s="260"/>
      <c r="B175" s="134" t="s">
        <v>73</v>
      </c>
      <c r="C175" s="158" t="s">
        <v>121</v>
      </c>
      <c r="D175" s="159" t="s">
        <v>168</v>
      </c>
      <c r="E175" s="126" t="s">
        <v>168</v>
      </c>
      <c r="F175" s="126" t="s">
        <v>168</v>
      </c>
      <c r="G175" s="159" t="s">
        <v>318</v>
      </c>
      <c r="H175" s="128" t="s">
        <v>168</v>
      </c>
      <c r="I175" s="201" t="s">
        <v>74</v>
      </c>
      <c r="J175" s="279"/>
      <c r="K175" s="149"/>
      <c r="L175" s="149">
        <f t="shared" si="31"/>
        <v>5715630</v>
      </c>
      <c r="M175" s="150">
        <f t="shared" si="31"/>
        <v>9973757.51</v>
      </c>
      <c r="N175" s="151">
        <f t="shared" si="31"/>
        <v>9973757.51</v>
      </c>
      <c r="O175" s="113"/>
    </row>
    <row r="176" spans="1:15" ht="25.5">
      <c r="A176" s="260"/>
      <c r="B176" s="134" t="s">
        <v>75</v>
      </c>
      <c r="C176" s="158" t="s">
        <v>121</v>
      </c>
      <c r="D176" s="159" t="s">
        <v>168</v>
      </c>
      <c r="E176" s="126" t="s">
        <v>168</v>
      </c>
      <c r="F176" s="126" t="s">
        <v>168</v>
      </c>
      <c r="G176" s="159" t="s">
        <v>318</v>
      </c>
      <c r="H176" s="128" t="s">
        <v>168</v>
      </c>
      <c r="I176" s="201" t="s">
        <v>76</v>
      </c>
      <c r="J176" s="279"/>
      <c r="K176" s="149"/>
      <c r="L176" s="138">
        <v>5715630</v>
      </c>
      <c r="M176" s="139">
        <v>9973757.51</v>
      </c>
      <c r="N176" s="140">
        <v>9973757.51</v>
      </c>
      <c r="O176" s="113"/>
    </row>
    <row r="177" spans="1:15" ht="38.25">
      <c r="A177" s="260"/>
      <c r="B177" s="155" t="s">
        <v>347</v>
      </c>
      <c r="C177" s="152" t="s">
        <v>121</v>
      </c>
      <c r="D177" s="153" t="s">
        <v>168</v>
      </c>
      <c r="E177" s="126" t="s">
        <v>168</v>
      </c>
      <c r="F177" s="126" t="s">
        <v>168</v>
      </c>
      <c r="G177" s="153" t="s">
        <v>346</v>
      </c>
      <c r="H177" s="128" t="s">
        <v>256</v>
      </c>
      <c r="I177" s="143"/>
      <c r="J177" s="279"/>
      <c r="K177" s="149"/>
      <c r="L177" s="149">
        <f aca="true" t="shared" si="32" ref="L177:N178">L178</f>
        <v>43898596</v>
      </c>
      <c r="M177" s="150">
        <f t="shared" si="32"/>
        <v>0</v>
      </c>
      <c r="N177" s="151">
        <f t="shared" si="32"/>
        <v>0</v>
      </c>
      <c r="O177" s="113"/>
    </row>
    <row r="178" spans="1:15" ht="25.5">
      <c r="A178" s="260"/>
      <c r="B178" s="134" t="s">
        <v>73</v>
      </c>
      <c r="C178" s="152" t="s">
        <v>121</v>
      </c>
      <c r="D178" s="153" t="s">
        <v>168</v>
      </c>
      <c r="E178" s="126" t="s">
        <v>168</v>
      </c>
      <c r="F178" s="126" t="s">
        <v>168</v>
      </c>
      <c r="G178" s="153" t="s">
        <v>346</v>
      </c>
      <c r="H178" s="128" t="s">
        <v>256</v>
      </c>
      <c r="I178" s="201" t="s">
        <v>74</v>
      </c>
      <c r="J178" s="279"/>
      <c r="K178" s="149"/>
      <c r="L178" s="149">
        <f t="shared" si="32"/>
        <v>43898596</v>
      </c>
      <c r="M178" s="150">
        <f t="shared" si="32"/>
        <v>0</v>
      </c>
      <c r="N178" s="151">
        <f t="shared" si="32"/>
        <v>0</v>
      </c>
      <c r="O178" s="113"/>
    </row>
    <row r="179" spans="1:15" ht="25.5">
      <c r="A179" s="260"/>
      <c r="B179" s="134" t="s">
        <v>75</v>
      </c>
      <c r="C179" s="152" t="s">
        <v>121</v>
      </c>
      <c r="D179" s="153" t="s">
        <v>168</v>
      </c>
      <c r="E179" s="126" t="s">
        <v>168</v>
      </c>
      <c r="F179" s="126" t="s">
        <v>168</v>
      </c>
      <c r="G179" s="153" t="s">
        <v>346</v>
      </c>
      <c r="H179" s="128" t="s">
        <v>256</v>
      </c>
      <c r="I179" s="168" t="s">
        <v>76</v>
      </c>
      <c r="J179" s="279"/>
      <c r="K179" s="149"/>
      <c r="L179" s="280">
        <f>36874820.64+7023775.36</f>
        <v>43898596</v>
      </c>
      <c r="M179" s="281">
        <v>0</v>
      </c>
      <c r="N179" s="282">
        <v>0</v>
      </c>
      <c r="O179" s="113"/>
    </row>
    <row r="180" spans="1:15" ht="12.75">
      <c r="A180" s="260"/>
      <c r="B180" s="210"/>
      <c r="C180" s="211"/>
      <c r="D180" s="212"/>
      <c r="E180" s="277"/>
      <c r="F180" s="277"/>
      <c r="G180" s="213"/>
      <c r="H180" s="283"/>
      <c r="I180" s="215"/>
      <c r="J180" s="267"/>
      <c r="K180" s="268"/>
      <c r="L180" s="268"/>
      <c r="M180" s="269"/>
      <c r="N180" s="270"/>
      <c r="O180" s="113"/>
    </row>
    <row r="181" spans="1:15" ht="47.25">
      <c r="A181" s="260"/>
      <c r="B181" s="114" t="s">
        <v>380</v>
      </c>
      <c r="C181" s="284" t="s">
        <v>147</v>
      </c>
      <c r="D181" s="285" t="s">
        <v>168</v>
      </c>
      <c r="E181" s="156" t="s">
        <v>168</v>
      </c>
      <c r="F181" s="156" t="s">
        <v>168</v>
      </c>
      <c r="G181" s="286" t="s">
        <v>169</v>
      </c>
      <c r="H181" s="157" t="s">
        <v>168</v>
      </c>
      <c r="I181" s="287"/>
      <c r="J181" s="110">
        <f aca="true" t="shared" si="33" ref="J181:L183">J182</f>
        <v>5152900.67</v>
      </c>
      <c r="K181" s="111">
        <f t="shared" si="33"/>
        <v>0</v>
      </c>
      <c r="L181" s="111">
        <f t="shared" si="33"/>
        <v>6319380</v>
      </c>
      <c r="M181" s="112">
        <f aca="true" t="shared" si="34" ref="M181:N183">M182</f>
        <v>14403333.99</v>
      </c>
      <c r="N181" s="119">
        <f t="shared" si="34"/>
        <v>17549516.62</v>
      </c>
      <c r="O181" s="113"/>
    </row>
    <row r="182" spans="1:15" ht="18" customHeight="1">
      <c r="A182" s="260"/>
      <c r="B182" s="288" t="s">
        <v>273</v>
      </c>
      <c r="C182" s="271" t="s">
        <v>147</v>
      </c>
      <c r="D182" s="272" t="s">
        <v>168</v>
      </c>
      <c r="E182" s="136" t="s">
        <v>168</v>
      </c>
      <c r="F182" s="136" t="s">
        <v>168</v>
      </c>
      <c r="G182" s="160" t="s">
        <v>272</v>
      </c>
      <c r="H182" s="128" t="s">
        <v>168</v>
      </c>
      <c r="I182" s="129"/>
      <c r="J182" s="130">
        <f t="shared" si="33"/>
        <v>5152900.67</v>
      </c>
      <c r="K182" s="131">
        <f t="shared" si="33"/>
        <v>0</v>
      </c>
      <c r="L182" s="131">
        <f t="shared" si="33"/>
        <v>6319380</v>
      </c>
      <c r="M182" s="132">
        <f t="shared" si="34"/>
        <v>14403333.99</v>
      </c>
      <c r="N182" s="133">
        <f t="shared" si="34"/>
        <v>17549516.62</v>
      </c>
      <c r="O182" s="113"/>
    </row>
    <row r="183" spans="1:15" ht="28.5" customHeight="1">
      <c r="A183" s="260"/>
      <c r="B183" s="197" t="s">
        <v>157</v>
      </c>
      <c r="C183" s="271" t="s">
        <v>147</v>
      </c>
      <c r="D183" s="272" t="s">
        <v>168</v>
      </c>
      <c r="E183" s="136" t="s">
        <v>168</v>
      </c>
      <c r="F183" s="136" t="s">
        <v>168</v>
      </c>
      <c r="G183" s="160" t="s">
        <v>272</v>
      </c>
      <c r="H183" s="128" t="s">
        <v>168</v>
      </c>
      <c r="I183" s="129" t="s">
        <v>74</v>
      </c>
      <c r="J183" s="130">
        <f t="shared" si="33"/>
        <v>5152900.67</v>
      </c>
      <c r="K183" s="131">
        <f t="shared" si="33"/>
        <v>0</v>
      </c>
      <c r="L183" s="131">
        <f t="shared" si="33"/>
        <v>6319380</v>
      </c>
      <c r="M183" s="132">
        <f t="shared" si="34"/>
        <v>14403333.99</v>
      </c>
      <c r="N183" s="133">
        <f t="shared" si="34"/>
        <v>17549516.62</v>
      </c>
      <c r="O183" s="113"/>
    </row>
    <row r="184" spans="1:15" ht="28.5" customHeight="1">
      <c r="A184" s="260"/>
      <c r="B184" s="197" t="s">
        <v>75</v>
      </c>
      <c r="C184" s="271" t="s">
        <v>147</v>
      </c>
      <c r="D184" s="272" t="s">
        <v>168</v>
      </c>
      <c r="E184" s="136" t="s">
        <v>168</v>
      </c>
      <c r="F184" s="136" t="s">
        <v>168</v>
      </c>
      <c r="G184" s="160" t="s">
        <v>272</v>
      </c>
      <c r="H184" s="128" t="s">
        <v>168</v>
      </c>
      <c r="I184" s="129" t="s">
        <v>76</v>
      </c>
      <c r="J184" s="130">
        <v>5152900.67</v>
      </c>
      <c r="K184" s="131">
        <v>0</v>
      </c>
      <c r="L184" s="289">
        <v>6319380</v>
      </c>
      <c r="M184" s="290">
        <v>14403333.99</v>
      </c>
      <c r="N184" s="291">
        <v>17549516.62</v>
      </c>
      <c r="O184" s="113"/>
    </row>
    <row r="185" spans="1:15" ht="10.5" customHeight="1">
      <c r="A185" s="260"/>
      <c r="B185" s="292"/>
      <c r="C185" s="211"/>
      <c r="D185" s="212"/>
      <c r="E185" s="277"/>
      <c r="F185" s="277"/>
      <c r="G185" s="213"/>
      <c r="H185" s="283"/>
      <c r="I185" s="215"/>
      <c r="J185" s="267"/>
      <c r="K185" s="268"/>
      <c r="L185" s="268"/>
      <c r="M185" s="269"/>
      <c r="N185" s="270"/>
      <c r="O185" s="113"/>
    </row>
    <row r="186" spans="1:15" s="122" customFormat="1" ht="53.25" customHeight="1">
      <c r="A186" s="257"/>
      <c r="B186" s="114" t="s">
        <v>375</v>
      </c>
      <c r="C186" s="258" t="s">
        <v>128</v>
      </c>
      <c r="D186" s="156" t="s">
        <v>168</v>
      </c>
      <c r="E186" s="156" t="s">
        <v>168</v>
      </c>
      <c r="F186" s="156" t="s">
        <v>168</v>
      </c>
      <c r="G186" s="156" t="s">
        <v>169</v>
      </c>
      <c r="H186" s="157" t="s">
        <v>168</v>
      </c>
      <c r="I186" s="259"/>
      <c r="J186" s="110">
        <f>J187+J193</f>
        <v>118265934.94</v>
      </c>
      <c r="K186" s="111">
        <f>K187+K193</f>
        <v>0</v>
      </c>
      <c r="L186" s="111">
        <f>L187+L193</f>
        <v>58360889.13000001</v>
      </c>
      <c r="M186" s="112">
        <f>M187+M193</f>
        <v>33588984.010000005</v>
      </c>
      <c r="N186" s="119">
        <f>N187+N193</f>
        <v>34216831.129999995</v>
      </c>
      <c r="O186" s="113"/>
    </row>
    <row r="187" spans="1:15" s="122" customFormat="1" ht="39" customHeight="1">
      <c r="A187" s="257"/>
      <c r="B187" s="134" t="s">
        <v>191</v>
      </c>
      <c r="C187" s="124" t="s">
        <v>128</v>
      </c>
      <c r="D187" s="126" t="s">
        <v>170</v>
      </c>
      <c r="E187" s="136" t="s">
        <v>168</v>
      </c>
      <c r="F187" s="136" t="s">
        <v>168</v>
      </c>
      <c r="G187" s="126" t="s">
        <v>169</v>
      </c>
      <c r="H187" s="128" t="s">
        <v>168</v>
      </c>
      <c r="I187" s="201"/>
      <c r="J187" s="130">
        <f>J188</f>
        <v>11946300</v>
      </c>
      <c r="K187" s="131">
        <f>K188</f>
        <v>0</v>
      </c>
      <c r="L187" s="131">
        <f>L188</f>
        <v>16580430.64</v>
      </c>
      <c r="M187" s="132">
        <f>M188</f>
        <v>16580430.64</v>
      </c>
      <c r="N187" s="133">
        <f>N188</f>
        <v>16580430.64</v>
      </c>
      <c r="O187" s="113"/>
    </row>
    <row r="188" spans="1:15" s="122" customFormat="1" ht="30.75" customHeight="1">
      <c r="A188" s="257"/>
      <c r="B188" s="135" t="s">
        <v>40</v>
      </c>
      <c r="C188" s="124" t="s">
        <v>128</v>
      </c>
      <c r="D188" s="126" t="s">
        <v>170</v>
      </c>
      <c r="E188" s="136" t="s">
        <v>168</v>
      </c>
      <c r="F188" s="136" t="s">
        <v>168</v>
      </c>
      <c r="G188" s="126" t="s">
        <v>36</v>
      </c>
      <c r="H188" s="128" t="s">
        <v>168</v>
      </c>
      <c r="I188" s="201"/>
      <c r="J188" s="130">
        <f>J189+J191</f>
        <v>11946300</v>
      </c>
      <c r="K188" s="131">
        <f>K189+K191</f>
        <v>0</v>
      </c>
      <c r="L188" s="131">
        <f>L189+L191</f>
        <v>16580430.64</v>
      </c>
      <c r="M188" s="132">
        <f>M189+M191</f>
        <v>16580430.64</v>
      </c>
      <c r="N188" s="133">
        <f>N189+N191</f>
        <v>16580430.64</v>
      </c>
      <c r="O188" s="113"/>
    </row>
    <row r="189" spans="1:15" s="122" customFormat="1" ht="53.25" customHeight="1">
      <c r="A189" s="257"/>
      <c r="B189" s="134" t="s">
        <v>92</v>
      </c>
      <c r="C189" s="124" t="s">
        <v>128</v>
      </c>
      <c r="D189" s="126" t="s">
        <v>170</v>
      </c>
      <c r="E189" s="136" t="s">
        <v>168</v>
      </c>
      <c r="F189" s="136" t="s">
        <v>168</v>
      </c>
      <c r="G189" s="127" t="s">
        <v>36</v>
      </c>
      <c r="H189" s="128" t="s">
        <v>168</v>
      </c>
      <c r="I189" s="137">
        <v>100</v>
      </c>
      <c r="J189" s="130">
        <f>J190</f>
        <v>11547700</v>
      </c>
      <c r="K189" s="131">
        <f>K190</f>
        <v>0</v>
      </c>
      <c r="L189" s="138">
        <f>L190</f>
        <v>16181830.64</v>
      </c>
      <c r="M189" s="139">
        <f>M190</f>
        <v>16181830.64</v>
      </c>
      <c r="N189" s="140">
        <f>N190</f>
        <v>16181830.64</v>
      </c>
      <c r="O189" s="113"/>
    </row>
    <row r="190" spans="1:15" s="122" customFormat="1" ht="36" customHeight="1">
      <c r="A190" s="257"/>
      <c r="B190" s="134" t="s">
        <v>82</v>
      </c>
      <c r="C190" s="124" t="s">
        <v>128</v>
      </c>
      <c r="D190" s="126" t="s">
        <v>170</v>
      </c>
      <c r="E190" s="136" t="s">
        <v>168</v>
      </c>
      <c r="F190" s="136" t="s">
        <v>168</v>
      </c>
      <c r="G190" s="127" t="s">
        <v>36</v>
      </c>
      <c r="H190" s="128" t="s">
        <v>168</v>
      </c>
      <c r="I190" s="137">
        <v>120</v>
      </c>
      <c r="J190" s="154">
        <v>11547700</v>
      </c>
      <c r="K190" s="138">
        <v>0</v>
      </c>
      <c r="L190" s="138">
        <f>12328595+130000+3723235.64</f>
        <v>16181830.64</v>
      </c>
      <c r="M190" s="139">
        <f>12328595+130000+3723235.64</f>
        <v>16181830.64</v>
      </c>
      <c r="N190" s="140">
        <f>12328595+130000+3723235.64</f>
        <v>16181830.64</v>
      </c>
      <c r="O190" s="113"/>
    </row>
    <row r="191" spans="1:15" s="122" customFormat="1" ht="29.25" customHeight="1">
      <c r="A191" s="257"/>
      <c r="B191" s="134" t="s">
        <v>73</v>
      </c>
      <c r="C191" s="124" t="s">
        <v>128</v>
      </c>
      <c r="D191" s="126" t="s">
        <v>170</v>
      </c>
      <c r="E191" s="136" t="s">
        <v>168</v>
      </c>
      <c r="F191" s="136" t="s">
        <v>168</v>
      </c>
      <c r="G191" s="127" t="s">
        <v>36</v>
      </c>
      <c r="H191" s="128" t="s">
        <v>168</v>
      </c>
      <c r="I191" s="137">
        <v>200</v>
      </c>
      <c r="J191" s="154">
        <f>J192</f>
        <v>398600</v>
      </c>
      <c r="K191" s="138">
        <f>K192</f>
        <v>0</v>
      </c>
      <c r="L191" s="138">
        <f>L192</f>
        <v>398600</v>
      </c>
      <c r="M191" s="139">
        <f>M192</f>
        <v>398600</v>
      </c>
      <c r="N191" s="140">
        <f>N192</f>
        <v>398600</v>
      </c>
      <c r="O191" s="113"/>
    </row>
    <row r="192" spans="1:15" s="122" customFormat="1" ht="33" customHeight="1">
      <c r="A192" s="257"/>
      <c r="B192" s="134" t="s">
        <v>75</v>
      </c>
      <c r="C192" s="124" t="s">
        <v>128</v>
      </c>
      <c r="D192" s="126" t="s">
        <v>170</v>
      </c>
      <c r="E192" s="136" t="s">
        <v>168</v>
      </c>
      <c r="F192" s="136" t="s">
        <v>168</v>
      </c>
      <c r="G192" s="127" t="s">
        <v>36</v>
      </c>
      <c r="H192" s="128" t="s">
        <v>168</v>
      </c>
      <c r="I192" s="137">
        <v>240</v>
      </c>
      <c r="J192" s="154">
        <v>398600</v>
      </c>
      <c r="K192" s="138">
        <v>0</v>
      </c>
      <c r="L192" s="138">
        <v>398600</v>
      </c>
      <c r="M192" s="139">
        <v>398600</v>
      </c>
      <c r="N192" s="140">
        <v>398600</v>
      </c>
      <c r="O192" s="113"/>
    </row>
    <row r="193" spans="1:15" s="122" customFormat="1" ht="45.75" customHeight="1">
      <c r="A193" s="257"/>
      <c r="B193" s="293" t="s">
        <v>190</v>
      </c>
      <c r="C193" s="258" t="s">
        <v>128</v>
      </c>
      <c r="D193" s="156" t="s">
        <v>166</v>
      </c>
      <c r="E193" s="156" t="s">
        <v>168</v>
      </c>
      <c r="F193" s="156" t="s">
        <v>168</v>
      </c>
      <c r="G193" s="156" t="s">
        <v>169</v>
      </c>
      <c r="H193" s="157" t="s">
        <v>168</v>
      </c>
      <c r="I193" s="259"/>
      <c r="J193" s="110">
        <f>J197+J200+J203+J194</f>
        <v>106319634.94</v>
      </c>
      <c r="K193" s="111">
        <f>K197+K200+K203+K194</f>
        <v>0</v>
      </c>
      <c r="L193" s="111">
        <f>L197+L200+L203+L194</f>
        <v>41780458.49000001</v>
      </c>
      <c r="M193" s="112">
        <f>M197+M200+M203+M194</f>
        <v>17008553.37</v>
      </c>
      <c r="N193" s="119">
        <f>N197+N200+N203+N194</f>
        <v>17636400.49</v>
      </c>
      <c r="O193" s="113"/>
    </row>
    <row r="194" spans="1:15" s="122" customFormat="1" ht="28.5" customHeight="1">
      <c r="A194" s="257"/>
      <c r="B194" s="134" t="s">
        <v>341</v>
      </c>
      <c r="C194" s="124" t="s">
        <v>128</v>
      </c>
      <c r="D194" s="126" t="s">
        <v>166</v>
      </c>
      <c r="E194" s="126" t="s">
        <v>168</v>
      </c>
      <c r="F194" s="126" t="s">
        <v>168</v>
      </c>
      <c r="G194" s="126" t="s">
        <v>32</v>
      </c>
      <c r="H194" s="128" t="s">
        <v>168</v>
      </c>
      <c r="I194" s="137"/>
      <c r="J194" s="130">
        <f aca="true" t="shared" si="35" ref="J194:N195">J195</f>
        <v>2830921.54</v>
      </c>
      <c r="K194" s="131">
        <f t="shared" si="35"/>
        <v>0</v>
      </c>
      <c r="L194" s="131">
        <f t="shared" si="35"/>
        <v>3881798.09</v>
      </c>
      <c r="M194" s="132">
        <f t="shared" si="35"/>
        <v>4068008.97</v>
      </c>
      <c r="N194" s="133">
        <f t="shared" si="35"/>
        <v>4188883.21</v>
      </c>
      <c r="O194" s="113"/>
    </row>
    <row r="195" spans="1:15" s="122" customFormat="1" ht="14.25" customHeight="1">
      <c r="A195" s="257"/>
      <c r="B195" s="134" t="s">
        <v>127</v>
      </c>
      <c r="C195" s="124" t="s">
        <v>128</v>
      </c>
      <c r="D195" s="126" t="s">
        <v>166</v>
      </c>
      <c r="E195" s="126" t="s">
        <v>168</v>
      </c>
      <c r="F195" s="126" t="s">
        <v>168</v>
      </c>
      <c r="G195" s="126" t="s">
        <v>32</v>
      </c>
      <c r="H195" s="128" t="s">
        <v>168</v>
      </c>
      <c r="I195" s="137" t="s">
        <v>140</v>
      </c>
      <c r="J195" s="130">
        <f t="shared" si="35"/>
        <v>2830921.54</v>
      </c>
      <c r="K195" s="131">
        <f t="shared" si="35"/>
        <v>0</v>
      </c>
      <c r="L195" s="131">
        <f t="shared" si="35"/>
        <v>3881798.09</v>
      </c>
      <c r="M195" s="132">
        <f t="shared" si="35"/>
        <v>4068008.97</v>
      </c>
      <c r="N195" s="133">
        <f t="shared" si="35"/>
        <v>4188883.21</v>
      </c>
      <c r="O195" s="113"/>
    </row>
    <row r="196" spans="1:15" s="122" customFormat="1" ht="18" customHeight="1">
      <c r="A196" s="257"/>
      <c r="B196" s="134" t="s">
        <v>88</v>
      </c>
      <c r="C196" s="124" t="s">
        <v>128</v>
      </c>
      <c r="D196" s="126" t="s">
        <v>166</v>
      </c>
      <c r="E196" s="126" t="s">
        <v>168</v>
      </c>
      <c r="F196" s="126" t="s">
        <v>168</v>
      </c>
      <c r="G196" s="126" t="s">
        <v>32</v>
      </c>
      <c r="H196" s="128" t="s">
        <v>168</v>
      </c>
      <c r="I196" s="137" t="s">
        <v>89</v>
      </c>
      <c r="J196" s="154">
        <v>2830921.54</v>
      </c>
      <c r="K196" s="138">
        <v>0</v>
      </c>
      <c r="L196" s="138">
        <v>3881798.09</v>
      </c>
      <c r="M196" s="139">
        <v>4068008.97</v>
      </c>
      <c r="N196" s="140">
        <v>4188883.21</v>
      </c>
      <c r="O196" s="113"/>
    </row>
    <row r="197" spans="1:15" ht="12.75">
      <c r="A197" s="260"/>
      <c r="B197" s="134" t="s">
        <v>0</v>
      </c>
      <c r="C197" s="271" t="s">
        <v>128</v>
      </c>
      <c r="D197" s="272" t="s">
        <v>166</v>
      </c>
      <c r="E197" s="136" t="s">
        <v>168</v>
      </c>
      <c r="F197" s="136" t="s">
        <v>168</v>
      </c>
      <c r="G197" s="160" t="s">
        <v>1</v>
      </c>
      <c r="H197" s="128" t="s">
        <v>168</v>
      </c>
      <c r="I197" s="129"/>
      <c r="J197" s="130">
        <f aca="true" t="shared" si="36" ref="J197:N198">J198</f>
        <v>4275465.6</v>
      </c>
      <c r="K197" s="131">
        <f t="shared" si="36"/>
        <v>0</v>
      </c>
      <c r="L197" s="131">
        <f t="shared" si="36"/>
        <v>4390114.6</v>
      </c>
      <c r="M197" s="132">
        <f t="shared" si="36"/>
        <v>3514709.6</v>
      </c>
      <c r="N197" s="133">
        <f t="shared" si="36"/>
        <v>3512091.68</v>
      </c>
      <c r="O197" s="113"/>
    </row>
    <row r="198" spans="1:15" ht="12.75">
      <c r="A198" s="260"/>
      <c r="B198" s="134" t="s">
        <v>127</v>
      </c>
      <c r="C198" s="271" t="s">
        <v>128</v>
      </c>
      <c r="D198" s="272" t="s">
        <v>166</v>
      </c>
      <c r="E198" s="136" t="s">
        <v>168</v>
      </c>
      <c r="F198" s="136" t="s">
        <v>168</v>
      </c>
      <c r="G198" s="160" t="s">
        <v>1</v>
      </c>
      <c r="H198" s="128" t="s">
        <v>168</v>
      </c>
      <c r="I198" s="129" t="s">
        <v>140</v>
      </c>
      <c r="J198" s="130">
        <f t="shared" si="36"/>
        <v>4275465.6</v>
      </c>
      <c r="K198" s="131">
        <f t="shared" si="36"/>
        <v>0</v>
      </c>
      <c r="L198" s="131">
        <f t="shared" si="36"/>
        <v>4390114.6</v>
      </c>
      <c r="M198" s="132">
        <f t="shared" si="36"/>
        <v>3514709.6</v>
      </c>
      <c r="N198" s="133">
        <f t="shared" si="36"/>
        <v>3512091.68</v>
      </c>
      <c r="O198" s="113"/>
    </row>
    <row r="199" spans="1:15" ht="12.75">
      <c r="A199" s="260"/>
      <c r="B199" s="134" t="s">
        <v>2</v>
      </c>
      <c r="C199" s="271" t="s">
        <v>128</v>
      </c>
      <c r="D199" s="272" t="s">
        <v>166</v>
      </c>
      <c r="E199" s="136" t="s">
        <v>168</v>
      </c>
      <c r="F199" s="136" t="s">
        <v>168</v>
      </c>
      <c r="G199" s="160" t="s">
        <v>1</v>
      </c>
      <c r="H199" s="128" t="s">
        <v>168</v>
      </c>
      <c r="I199" s="129" t="s">
        <v>3</v>
      </c>
      <c r="J199" s="154">
        <v>4275465.6</v>
      </c>
      <c r="K199" s="138">
        <v>0</v>
      </c>
      <c r="L199" s="138">
        <v>4390114.6</v>
      </c>
      <c r="M199" s="139">
        <v>3514709.6</v>
      </c>
      <c r="N199" s="140">
        <v>3512091.68</v>
      </c>
      <c r="O199" s="113"/>
    </row>
    <row r="200" spans="1:15" ht="12.75">
      <c r="A200" s="260"/>
      <c r="B200" s="134" t="s">
        <v>52</v>
      </c>
      <c r="C200" s="271" t="s">
        <v>128</v>
      </c>
      <c r="D200" s="272" t="s">
        <v>166</v>
      </c>
      <c r="E200" s="136" t="s">
        <v>168</v>
      </c>
      <c r="F200" s="136" t="s">
        <v>168</v>
      </c>
      <c r="G200" s="160" t="s">
        <v>4</v>
      </c>
      <c r="H200" s="128" t="s">
        <v>168</v>
      </c>
      <c r="I200" s="129"/>
      <c r="J200" s="130">
        <f aca="true" t="shared" si="37" ref="J200:N201">J201</f>
        <v>92029600</v>
      </c>
      <c r="K200" s="131">
        <f t="shared" si="37"/>
        <v>0</v>
      </c>
      <c r="L200" s="131">
        <f t="shared" si="37"/>
        <v>24696000</v>
      </c>
      <c r="M200" s="132">
        <f t="shared" si="37"/>
        <v>0</v>
      </c>
      <c r="N200" s="133">
        <f t="shared" si="37"/>
        <v>0</v>
      </c>
      <c r="O200" s="113"/>
    </row>
    <row r="201" spans="1:15" ht="12.75">
      <c r="A201" s="260"/>
      <c r="B201" s="134" t="s">
        <v>127</v>
      </c>
      <c r="C201" s="271" t="s">
        <v>128</v>
      </c>
      <c r="D201" s="272" t="s">
        <v>166</v>
      </c>
      <c r="E201" s="136" t="s">
        <v>168</v>
      </c>
      <c r="F201" s="136" t="s">
        <v>168</v>
      </c>
      <c r="G201" s="160" t="s">
        <v>4</v>
      </c>
      <c r="H201" s="128" t="s">
        <v>168</v>
      </c>
      <c r="I201" s="129" t="s">
        <v>140</v>
      </c>
      <c r="J201" s="130">
        <f t="shared" si="37"/>
        <v>92029600</v>
      </c>
      <c r="K201" s="131">
        <f t="shared" si="37"/>
        <v>0</v>
      </c>
      <c r="L201" s="131">
        <f t="shared" si="37"/>
        <v>24696000</v>
      </c>
      <c r="M201" s="132">
        <f t="shared" si="37"/>
        <v>0</v>
      </c>
      <c r="N201" s="133">
        <f t="shared" si="37"/>
        <v>0</v>
      </c>
      <c r="O201" s="113"/>
    </row>
    <row r="202" spans="1:15" ht="12.75">
      <c r="A202" s="260"/>
      <c r="B202" s="197" t="s">
        <v>141</v>
      </c>
      <c r="C202" s="271" t="s">
        <v>128</v>
      </c>
      <c r="D202" s="272" t="s">
        <v>166</v>
      </c>
      <c r="E202" s="136" t="s">
        <v>168</v>
      </c>
      <c r="F202" s="136" t="s">
        <v>168</v>
      </c>
      <c r="G202" s="160" t="s">
        <v>4</v>
      </c>
      <c r="H202" s="128" t="s">
        <v>168</v>
      </c>
      <c r="I202" s="129" t="s">
        <v>175</v>
      </c>
      <c r="J202" s="154">
        <v>92029600</v>
      </c>
      <c r="K202" s="138">
        <v>0</v>
      </c>
      <c r="L202" s="138">
        <v>24696000</v>
      </c>
      <c r="M202" s="139">
        <v>0</v>
      </c>
      <c r="N202" s="140">
        <v>0</v>
      </c>
      <c r="O202" s="113"/>
    </row>
    <row r="203" spans="1:15" ht="25.5">
      <c r="A203" s="260"/>
      <c r="B203" s="134" t="s">
        <v>202</v>
      </c>
      <c r="C203" s="182" t="s">
        <v>128</v>
      </c>
      <c r="D203" s="125" t="s">
        <v>166</v>
      </c>
      <c r="E203" s="126" t="s">
        <v>168</v>
      </c>
      <c r="F203" s="126" t="s">
        <v>168</v>
      </c>
      <c r="G203" s="127" t="s">
        <v>204</v>
      </c>
      <c r="H203" s="128" t="s">
        <v>168</v>
      </c>
      <c r="I203" s="129"/>
      <c r="J203" s="130">
        <f aca="true" t="shared" si="38" ref="J203:N204">J204</f>
        <v>7183647.8</v>
      </c>
      <c r="K203" s="131">
        <f t="shared" si="38"/>
        <v>0</v>
      </c>
      <c r="L203" s="131">
        <f t="shared" si="38"/>
        <v>8812545.8</v>
      </c>
      <c r="M203" s="132">
        <f t="shared" si="38"/>
        <v>9425834.8</v>
      </c>
      <c r="N203" s="133">
        <f t="shared" si="38"/>
        <v>9935425.6</v>
      </c>
      <c r="O203" s="113"/>
    </row>
    <row r="204" spans="1:15" ht="12.75">
      <c r="A204" s="260"/>
      <c r="B204" s="134" t="s">
        <v>127</v>
      </c>
      <c r="C204" s="182" t="s">
        <v>128</v>
      </c>
      <c r="D204" s="125" t="s">
        <v>166</v>
      </c>
      <c r="E204" s="126" t="s">
        <v>168</v>
      </c>
      <c r="F204" s="126" t="s">
        <v>168</v>
      </c>
      <c r="G204" s="127" t="s">
        <v>204</v>
      </c>
      <c r="H204" s="128" t="s">
        <v>168</v>
      </c>
      <c r="I204" s="129" t="s">
        <v>140</v>
      </c>
      <c r="J204" s="130">
        <f t="shared" si="38"/>
        <v>7183647.8</v>
      </c>
      <c r="K204" s="131">
        <f t="shared" si="38"/>
        <v>0</v>
      </c>
      <c r="L204" s="131">
        <f t="shared" si="38"/>
        <v>8812545.8</v>
      </c>
      <c r="M204" s="132">
        <f t="shared" si="38"/>
        <v>9425834.8</v>
      </c>
      <c r="N204" s="133">
        <f t="shared" si="38"/>
        <v>9935425.6</v>
      </c>
      <c r="O204" s="113"/>
    </row>
    <row r="205" spans="1:15" ht="18.75" customHeight="1">
      <c r="A205" s="260"/>
      <c r="B205" s="134" t="s">
        <v>2</v>
      </c>
      <c r="C205" s="226" t="s">
        <v>128</v>
      </c>
      <c r="D205" s="227" t="s">
        <v>166</v>
      </c>
      <c r="E205" s="204" t="s">
        <v>168</v>
      </c>
      <c r="F205" s="204" t="s">
        <v>168</v>
      </c>
      <c r="G205" s="294" t="s">
        <v>204</v>
      </c>
      <c r="H205" s="229" t="s">
        <v>168</v>
      </c>
      <c r="I205" s="230" t="s">
        <v>3</v>
      </c>
      <c r="J205" s="295">
        <v>7183647.8</v>
      </c>
      <c r="K205" s="289">
        <v>0</v>
      </c>
      <c r="L205" s="138">
        <v>8812545.8</v>
      </c>
      <c r="M205" s="139">
        <v>9425834.8</v>
      </c>
      <c r="N205" s="140">
        <v>9935425.6</v>
      </c>
      <c r="O205" s="113"/>
    </row>
    <row r="206" spans="1:15" ht="7.5" customHeight="1">
      <c r="A206" s="260"/>
      <c r="B206" s="210"/>
      <c r="C206" s="276"/>
      <c r="D206" s="277"/>
      <c r="E206" s="277"/>
      <c r="F206" s="277"/>
      <c r="G206" s="277"/>
      <c r="H206" s="296"/>
      <c r="I206" s="177"/>
      <c r="J206" s="267"/>
      <c r="K206" s="268"/>
      <c r="L206" s="268"/>
      <c r="M206" s="269"/>
      <c r="N206" s="270"/>
      <c r="O206" s="113"/>
    </row>
    <row r="207" spans="1:15" s="122" customFormat="1" ht="60" customHeight="1">
      <c r="A207" s="257"/>
      <c r="B207" s="114" t="s">
        <v>372</v>
      </c>
      <c r="C207" s="258" t="s">
        <v>6</v>
      </c>
      <c r="D207" s="156" t="s">
        <v>168</v>
      </c>
      <c r="E207" s="156" t="s">
        <v>168</v>
      </c>
      <c r="F207" s="156" t="s">
        <v>168</v>
      </c>
      <c r="G207" s="156" t="s">
        <v>169</v>
      </c>
      <c r="H207" s="297" t="s">
        <v>168</v>
      </c>
      <c r="I207" s="259"/>
      <c r="J207" s="110" t="e">
        <f>J211+J219+J222+J225+J230+J235+J238+J216+J261+J244+J241+J255+#REF!+J210+J258+#REF!+#REF!+#REF!</f>
        <v>#REF!</v>
      </c>
      <c r="K207" s="111" t="e">
        <f>K211+K219+K222+K225+K230+K235+K238+K216+K261+K244+K241+K255+#REF!+K210+K258+#REF!+#REF!+#REF!</f>
        <v>#REF!</v>
      </c>
      <c r="L207" s="111">
        <f>L211+L219+L222+L225+L230+L235+L238+L216+L261+L244+L241+L255+L210+L258</f>
        <v>1121024865.7199998</v>
      </c>
      <c r="M207" s="112">
        <f>M211+M219+M222+M225+M230+M235+M238+M216+M261+M244+M241+M255+M210+M258</f>
        <v>1158723589.78</v>
      </c>
      <c r="N207" s="119">
        <f>N211+N219+N222+N225+N230+N235+N238+N216+N261+N244+N241+N255+N210+N258</f>
        <v>1193825748.43</v>
      </c>
      <c r="O207" s="113"/>
    </row>
    <row r="208" spans="1:15" s="122" customFormat="1" ht="38.25">
      <c r="A208" s="257"/>
      <c r="B208" s="134" t="s">
        <v>308</v>
      </c>
      <c r="C208" s="124" t="s">
        <v>6</v>
      </c>
      <c r="D208" s="126" t="s">
        <v>168</v>
      </c>
      <c r="E208" s="126" t="s">
        <v>168</v>
      </c>
      <c r="F208" s="126" t="s">
        <v>168</v>
      </c>
      <c r="G208" s="126" t="s">
        <v>309</v>
      </c>
      <c r="H208" s="128" t="s">
        <v>168</v>
      </c>
      <c r="I208" s="137"/>
      <c r="J208" s="130">
        <f aca="true" t="shared" si="39" ref="J208:N209">J209</f>
        <v>30041850</v>
      </c>
      <c r="K208" s="131">
        <f t="shared" si="39"/>
        <v>0</v>
      </c>
      <c r="L208" s="131">
        <f t="shared" si="39"/>
        <v>29388725</v>
      </c>
      <c r="M208" s="132">
        <f t="shared" si="39"/>
        <v>29878545</v>
      </c>
      <c r="N208" s="133">
        <f t="shared" si="39"/>
        <v>29878545</v>
      </c>
      <c r="O208" s="113"/>
    </row>
    <row r="209" spans="1:15" s="122" customFormat="1" ht="25.5">
      <c r="A209" s="257"/>
      <c r="B209" s="134" t="s">
        <v>29</v>
      </c>
      <c r="C209" s="124" t="s">
        <v>6</v>
      </c>
      <c r="D209" s="126" t="s">
        <v>168</v>
      </c>
      <c r="E209" s="126" t="s">
        <v>168</v>
      </c>
      <c r="F209" s="126" t="s">
        <v>168</v>
      </c>
      <c r="G209" s="126" t="s">
        <v>309</v>
      </c>
      <c r="H209" s="128" t="s">
        <v>168</v>
      </c>
      <c r="I209" s="137" t="s">
        <v>182</v>
      </c>
      <c r="J209" s="130">
        <f t="shared" si="39"/>
        <v>30041850</v>
      </c>
      <c r="K209" s="131">
        <f t="shared" si="39"/>
        <v>0</v>
      </c>
      <c r="L209" s="131">
        <f t="shared" si="39"/>
        <v>29388725</v>
      </c>
      <c r="M209" s="132">
        <f t="shared" si="39"/>
        <v>29878545</v>
      </c>
      <c r="N209" s="133">
        <f t="shared" si="39"/>
        <v>29878545</v>
      </c>
      <c r="O209" s="113"/>
    </row>
    <row r="210" spans="1:15" s="122" customFormat="1" ht="12.75">
      <c r="A210" s="257"/>
      <c r="B210" s="134" t="s">
        <v>30</v>
      </c>
      <c r="C210" s="124" t="s">
        <v>6</v>
      </c>
      <c r="D210" s="126" t="s">
        <v>168</v>
      </c>
      <c r="E210" s="126" t="s">
        <v>168</v>
      </c>
      <c r="F210" s="126" t="s">
        <v>168</v>
      </c>
      <c r="G210" s="126" t="s">
        <v>309</v>
      </c>
      <c r="H210" s="128" t="s">
        <v>168</v>
      </c>
      <c r="I210" s="137" t="s">
        <v>31</v>
      </c>
      <c r="J210" s="130">
        <v>30041850</v>
      </c>
      <c r="K210" s="131">
        <v>0</v>
      </c>
      <c r="L210" s="138">
        <v>29388725</v>
      </c>
      <c r="M210" s="139">
        <v>29878545</v>
      </c>
      <c r="N210" s="140">
        <v>29878545</v>
      </c>
      <c r="O210" s="113"/>
    </row>
    <row r="211" spans="1:15" ht="66.75" customHeight="1">
      <c r="A211" s="260"/>
      <c r="B211" s="134" t="s">
        <v>359</v>
      </c>
      <c r="C211" s="144" t="s">
        <v>6</v>
      </c>
      <c r="D211" s="136" t="s">
        <v>168</v>
      </c>
      <c r="E211" s="136" t="s">
        <v>168</v>
      </c>
      <c r="F211" s="136" t="s">
        <v>168</v>
      </c>
      <c r="G211" s="136" t="s">
        <v>69</v>
      </c>
      <c r="H211" s="128" t="s">
        <v>168</v>
      </c>
      <c r="I211" s="137"/>
      <c r="J211" s="130">
        <f>J212+J214</f>
        <v>3544237.58</v>
      </c>
      <c r="K211" s="131">
        <f>K212+K214</f>
        <v>0</v>
      </c>
      <c r="L211" s="131">
        <f>L212+L214</f>
        <v>3760338.91</v>
      </c>
      <c r="M211" s="132">
        <f>M212+M214</f>
        <v>3910757.27</v>
      </c>
      <c r="N211" s="133">
        <f>N212+N214</f>
        <v>4067194.18</v>
      </c>
      <c r="O211" s="113"/>
    </row>
    <row r="212" spans="1:15" s="122" customFormat="1" ht="12.75" hidden="1">
      <c r="A212" s="257"/>
      <c r="B212" s="134" t="s">
        <v>77</v>
      </c>
      <c r="C212" s="255" t="s">
        <v>6</v>
      </c>
      <c r="D212" s="256" t="s">
        <v>168</v>
      </c>
      <c r="E212" s="136" t="s">
        <v>168</v>
      </c>
      <c r="F212" s="136" t="s">
        <v>168</v>
      </c>
      <c r="G212" s="256" t="s">
        <v>69</v>
      </c>
      <c r="H212" s="128" t="s">
        <v>168</v>
      </c>
      <c r="I212" s="201" t="s">
        <v>78</v>
      </c>
      <c r="J212" s="130">
        <f>J213</f>
        <v>0</v>
      </c>
      <c r="K212" s="131">
        <f>K213</f>
        <v>0</v>
      </c>
      <c r="L212" s="131">
        <f>L213</f>
        <v>0</v>
      </c>
      <c r="M212" s="132">
        <f>M213</f>
        <v>0</v>
      </c>
      <c r="N212" s="133">
        <f>N213</f>
        <v>0</v>
      </c>
      <c r="O212" s="113"/>
    </row>
    <row r="213" spans="1:15" s="122" customFormat="1" ht="6.75" customHeight="1" hidden="1">
      <c r="A213" s="257"/>
      <c r="B213" s="134" t="s">
        <v>79</v>
      </c>
      <c r="C213" s="255" t="s">
        <v>6</v>
      </c>
      <c r="D213" s="256" t="s">
        <v>168</v>
      </c>
      <c r="E213" s="136" t="s">
        <v>168</v>
      </c>
      <c r="F213" s="136" t="s">
        <v>168</v>
      </c>
      <c r="G213" s="256" t="s">
        <v>69</v>
      </c>
      <c r="H213" s="128" t="s">
        <v>168</v>
      </c>
      <c r="I213" s="201" t="s">
        <v>80</v>
      </c>
      <c r="J213" s="130">
        <v>0</v>
      </c>
      <c r="K213" s="131">
        <v>0</v>
      </c>
      <c r="L213" s="131">
        <v>0</v>
      </c>
      <c r="M213" s="132">
        <v>0</v>
      </c>
      <c r="N213" s="133">
        <v>0</v>
      </c>
      <c r="O213" s="113"/>
    </row>
    <row r="214" spans="1:15" s="122" customFormat="1" ht="25.5">
      <c r="A214" s="257"/>
      <c r="B214" s="134" t="s">
        <v>29</v>
      </c>
      <c r="C214" s="144" t="s">
        <v>6</v>
      </c>
      <c r="D214" s="272" t="s">
        <v>168</v>
      </c>
      <c r="E214" s="136" t="s">
        <v>168</v>
      </c>
      <c r="F214" s="136" t="s">
        <v>168</v>
      </c>
      <c r="G214" s="160" t="s">
        <v>69</v>
      </c>
      <c r="H214" s="128" t="s">
        <v>168</v>
      </c>
      <c r="I214" s="129">
        <v>600</v>
      </c>
      <c r="J214" s="130">
        <f>J215</f>
        <v>3544237.58</v>
      </c>
      <c r="K214" s="131">
        <f>K215</f>
        <v>0</v>
      </c>
      <c r="L214" s="131">
        <f>L215</f>
        <v>3760338.91</v>
      </c>
      <c r="M214" s="132">
        <f>M215</f>
        <v>3910757.27</v>
      </c>
      <c r="N214" s="133">
        <f>N215</f>
        <v>4067194.18</v>
      </c>
      <c r="O214" s="113"/>
    </row>
    <row r="215" spans="1:15" s="122" customFormat="1" ht="12.75">
      <c r="A215" s="257"/>
      <c r="B215" s="134" t="s">
        <v>30</v>
      </c>
      <c r="C215" s="144" t="s">
        <v>6</v>
      </c>
      <c r="D215" s="272" t="s">
        <v>168</v>
      </c>
      <c r="E215" s="136" t="s">
        <v>168</v>
      </c>
      <c r="F215" s="136" t="s">
        <v>168</v>
      </c>
      <c r="G215" s="160" t="s">
        <v>69</v>
      </c>
      <c r="H215" s="128" t="s">
        <v>168</v>
      </c>
      <c r="I215" s="129" t="s">
        <v>31</v>
      </c>
      <c r="J215" s="130">
        <v>3544237.58</v>
      </c>
      <c r="K215" s="131">
        <v>0</v>
      </c>
      <c r="L215" s="138">
        <v>3760338.91</v>
      </c>
      <c r="M215" s="139">
        <v>3910757.27</v>
      </c>
      <c r="N215" s="140">
        <v>4067194.18</v>
      </c>
      <c r="O215" s="113"/>
    </row>
    <row r="216" spans="1:15" s="122" customFormat="1" ht="63.75">
      <c r="A216" s="257"/>
      <c r="B216" s="123" t="s">
        <v>234</v>
      </c>
      <c r="C216" s="124" t="s">
        <v>6</v>
      </c>
      <c r="D216" s="125" t="s">
        <v>168</v>
      </c>
      <c r="E216" s="126" t="s">
        <v>168</v>
      </c>
      <c r="F216" s="126" t="s">
        <v>168</v>
      </c>
      <c r="G216" s="127" t="s">
        <v>235</v>
      </c>
      <c r="H216" s="128" t="s">
        <v>168</v>
      </c>
      <c r="I216" s="129"/>
      <c r="J216" s="130">
        <f aca="true" t="shared" si="40" ref="J216:N217">J217</f>
        <v>43549218</v>
      </c>
      <c r="K216" s="131">
        <f t="shared" si="40"/>
        <v>0</v>
      </c>
      <c r="L216" s="131">
        <f t="shared" si="40"/>
        <v>55946446.15</v>
      </c>
      <c r="M216" s="132">
        <f t="shared" si="40"/>
        <v>58212301.46</v>
      </c>
      <c r="N216" s="133">
        <f t="shared" si="40"/>
        <v>66138827.47</v>
      </c>
      <c r="O216" s="113"/>
    </row>
    <row r="217" spans="1:15" s="122" customFormat="1" ht="25.5">
      <c r="A217" s="257"/>
      <c r="B217" s="134" t="s">
        <v>29</v>
      </c>
      <c r="C217" s="124" t="s">
        <v>6</v>
      </c>
      <c r="D217" s="125" t="s">
        <v>168</v>
      </c>
      <c r="E217" s="126" t="s">
        <v>168</v>
      </c>
      <c r="F217" s="126" t="s">
        <v>168</v>
      </c>
      <c r="G217" s="127" t="s">
        <v>235</v>
      </c>
      <c r="H217" s="128" t="s">
        <v>168</v>
      </c>
      <c r="I217" s="129" t="s">
        <v>182</v>
      </c>
      <c r="J217" s="130">
        <f t="shared" si="40"/>
        <v>43549218</v>
      </c>
      <c r="K217" s="131">
        <f t="shared" si="40"/>
        <v>0</v>
      </c>
      <c r="L217" s="131">
        <f t="shared" si="40"/>
        <v>55946446.15</v>
      </c>
      <c r="M217" s="132">
        <f t="shared" si="40"/>
        <v>58212301.46</v>
      </c>
      <c r="N217" s="133">
        <f t="shared" si="40"/>
        <v>66138827.47</v>
      </c>
      <c r="O217" s="113"/>
    </row>
    <row r="218" spans="1:15" s="122" customFormat="1" ht="12.75">
      <c r="A218" s="257"/>
      <c r="B218" s="134" t="s">
        <v>30</v>
      </c>
      <c r="C218" s="124" t="s">
        <v>6</v>
      </c>
      <c r="D218" s="125" t="s">
        <v>168</v>
      </c>
      <c r="E218" s="126" t="s">
        <v>168</v>
      </c>
      <c r="F218" s="126" t="s">
        <v>168</v>
      </c>
      <c r="G218" s="127" t="s">
        <v>235</v>
      </c>
      <c r="H218" s="128" t="s">
        <v>168</v>
      </c>
      <c r="I218" s="129" t="s">
        <v>31</v>
      </c>
      <c r="J218" s="130">
        <f>44149218-600000</f>
        <v>43549218</v>
      </c>
      <c r="K218" s="131">
        <v>0</v>
      </c>
      <c r="L218" s="138">
        <f>56646446.15-700000</f>
        <v>55946446.15</v>
      </c>
      <c r="M218" s="139">
        <f>58912301.46-700000</f>
        <v>58212301.46</v>
      </c>
      <c r="N218" s="140">
        <f>66838827.47-700000</f>
        <v>66138827.47</v>
      </c>
      <c r="O218" s="113"/>
    </row>
    <row r="219" spans="1:15" s="122" customFormat="1" ht="12.75">
      <c r="A219" s="257"/>
      <c r="B219" s="134" t="s">
        <v>192</v>
      </c>
      <c r="C219" s="144" t="s">
        <v>6</v>
      </c>
      <c r="D219" s="272" t="s">
        <v>168</v>
      </c>
      <c r="E219" s="136" t="s">
        <v>168</v>
      </c>
      <c r="F219" s="136" t="s">
        <v>168</v>
      </c>
      <c r="G219" s="160" t="s">
        <v>90</v>
      </c>
      <c r="H219" s="128" t="s">
        <v>168</v>
      </c>
      <c r="I219" s="129"/>
      <c r="J219" s="130">
        <f aca="true" t="shared" si="41" ref="J219:N220">J220</f>
        <v>526443500</v>
      </c>
      <c r="K219" s="131">
        <f t="shared" si="41"/>
        <v>0</v>
      </c>
      <c r="L219" s="131">
        <f t="shared" si="41"/>
        <v>618280900</v>
      </c>
      <c r="M219" s="132">
        <f t="shared" si="41"/>
        <v>655306500</v>
      </c>
      <c r="N219" s="133">
        <f t="shared" si="41"/>
        <v>681619800</v>
      </c>
      <c r="O219" s="113"/>
    </row>
    <row r="220" spans="1:15" s="122" customFormat="1" ht="25.5">
      <c r="A220" s="257"/>
      <c r="B220" s="134" t="s">
        <v>29</v>
      </c>
      <c r="C220" s="144" t="s">
        <v>6</v>
      </c>
      <c r="D220" s="272" t="s">
        <v>168</v>
      </c>
      <c r="E220" s="136" t="s">
        <v>168</v>
      </c>
      <c r="F220" s="136" t="s">
        <v>168</v>
      </c>
      <c r="G220" s="160" t="s">
        <v>90</v>
      </c>
      <c r="H220" s="128" t="s">
        <v>168</v>
      </c>
      <c r="I220" s="129">
        <v>600</v>
      </c>
      <c r="J220" s="130">
        <f t="shared" si="41"/>
        <v>526443500</v>
      </c>
      <c r="K220" s="131">
        <f t="shared" si="41"/>
        <v>0</v>
      </c>
      <c r="L220" s="131">
        <f t="shared" si="41"/>
        <v>618280900</v>
      </c>
      <c r="M220" s="132">
        <f t="shared" si="41"/>
        <v>655306500</v>
      </c>
      <c r="N220" s="133">
        <f t="shared" si="41"/>
        <v>681619800</v>
      </c>
      <c r="O220" s="113"/>
    </row>
    <row r="221" spans="1:15" s="122" customFormat="1" ht="12.75">
      <c r="A221" s="257"/>
      <c r="B221" s="134" t="s">
        <v>30</v>
      </c>
      <c r="C221" s="144" t="s">
        <v>6</v>
      </c>
      <c r="D221" s="272" t="s">
        <v>168</v>
      </c>
      <c r="E221" s="136" t="s">
        <v>168</v>
      </c>
      <c r="F221" s="136" t="s">
        <v>168</v>
      </c>
      <c r="G221" s="160" t="s">
        <v>90</v>
      </c>
      <c r="H221" s="128" t="s">
        <v>168</v>
      </c>
      <c r="I221" s="129" t="s">
        <v>31</v>
      </c>
      <c r="J221" s="130">
        <v>526443500</v>
      </c>
      <c r="K221" s="131">
        <v>0</v>
      </c>
      <c r="L221" s="138">
        <v>618280900</v>
      </c>
      <c r="M221" s="139">
        <v>655306500</v>
      </c>
      <c r="N221" s="140">
        <v>681619800</v>
      </c>
      <c r="O221" s="113"/>
    </row>
    <row r="222" spans="1:15" s="122" customFormat="1" ht="38.25">
      <c r="A222" s="257"/>
      <c r="B222" s="123" t="s">
        <v>186</v>
      </c>
      <c r="C222" s="158" t="s">
        <v>6</v>
      </c>
      <c r="D222" s="298" t="s">
        <v>168</v>
      </c>
      <c r="E222" s="136" t="s">
        <v>168</v>
      </c>
      <c r="F222" s="136" t="s">
        <v>168</v>
      </c>
      <c r="G222" s="127" t="s">
        <v>91</v>
      </c>
      <c r="H222" s="128" t="s">
        <v>168</v>
      </c>
      <c r="I222" s="129"/>
      <c r="J222" s="130">
        <f aca="true" t="shared" si="42" ref="J222:N223">J223</f>
        <v>6102176.66</v>
      </c>
      <c r="K222" s="131">
        <f t="shared" si="42"/>
        <v>0</v>
      </c>
      <c r="L222" s="131">
        <f t="shared" si="42"/>
        <v>6070570</v>
      </c>
      <c r="M222" s="132">
        <f t="shared" si="42"/>
        <v>6146920</v>
      </c>
      <c r="N222" s="133">
        <f t="shared" si="42"/>
        <v>7097030</v>
      </c>
      <c r="O222" s="113"/>
    </row>
    <row r="223" spans="1:15" s="122" customFormat="1" ht="25.5">
      <c r="A223" s="257"/>
      <c r="B223" s="134" t="s">
        <v>29</v>
      </c>
      <c r="C223" s="158" t="s">
        <v>6</v>
      </c>
      <c r="D223" s="298" t="s">
        <v>168</v>
      </c>
      <c r="E223" s="136" t="s">
        <v>168</v>
      </c>
      <c r="F223" s="136" t="s">
        <v>168</v>
      </c>
      <c r="G223" s="127" t="s">
        <v>91</v>
      </c>
      <c r="H223" s="128" t="s">
        <v>168</v>
      </c>
      <c r="I223" s="129" t="s">
        <v>182</v>
      </c>
      <c r="J223" s="130">
        <f t="shared" si="42"/>
        <v>6102176.66</v>
      </c>
      <c r="K223" s="131">
        <f t="shared" si="42"/>
        <v>0</v>
      </c>
      <c r="L223" s="131">
        <f t="shared" si="42"/>
        <v>6070570</v>
      </c>
      <c r="M223" s="132">
        <f t="shared" si="42"/>
        <v>6146920</v>
      </c>
      <c r="N223" s="133">
        <f t="shared" si="42"/>
        <v>7097030</v>
      </c>
      <c r="O223" s="113"/>
    </row>
    <row r="224" spans="1:15" s="122" customFormat="1" ht="12.75">
      <c r="A224" s="257"/>
      <c r="B224" s="134" t="s">
        <v>30</v>
      </c>
      <c r="C224" s="158" t="s">
        <v>6</v>
      </c>
      <c r="D224" s="298" t="s">
        <v>168</v>
      </c>
      <c r="E224" s="136" t="s">
        <v>168</v>
      </c>
      <c r="F224" s="136" t="s">
        <v>168</v>
      </c>
      <c r="G224" s="127" t="s">
        <v>91</v>
      </c>
      <c r="H224" s="128" t="s">
        <v>168</v>
      </c>
      <c r="I224" s="129" t="s">
        <v>31</v>
      </c>
      <c r="J224" s="130">
        <v>6102176.66</v>
      </c>
      <c r="K224" s="131">
        <v>0</v>
      </c>
      <c r="L224" s="138">
        <v>6070570</v>
      </c>
      <c r="M224" s="139">
        <v>6146920</v>
      </c>
      <c r="N224" s="140">
        <v>7097030</v>
      </c>
      <c r="O224" s="113"/>
    </row>
    <row r="225" spans="1:15" s="122" customFormat="1" ht="25.5">
      <c r="A225" s="257"/>
      <c r="B225" s="135" t="s">
        <v>40</v>
      </c>
      <c r="C225" s="124" t="s">
        <v>6</v>
      </c>
      <c r="D225" s="126" t="s">
        <v>168</v>
      </c>
      <c r="E225" s="136" t="s">
        <v>168</v>
      </c>
      <c r="F225" s="136" t="s">
        <v>168</v>
      </c>
      <c r="G225" s="126" t="s">
        <v>36</v>
      </c>
      <c r="H225" s="128" t="s">
        <v>168</v>
      </c>
      <c r="I225" s="137"/>
      <c r="J225" s="130">
        <f>J226+J228</f>
        <v>17051100</v>
      </c>
      <c r="K225" s="131">
        <f>K226+K228</f>
        <v>0</v>
      </c>
      <c r="L225" s="131">
        <f>L226+L228</f>
        <v>23927747.83</v>
      </c>
      <c r="M225" s="132">
        <f>M226+M228</f>
        <v>23927747.83</v>
      </c>
      <c r="N225" s="133">
        <f>N226+N228</f>
        <v>23927747.83</v>
      </c>
      <c r="O225" s="113"/>
    </row>
    <row r="226" spans="1:15" s="122" customFormat="1" ht="51">
      <c r="A226" s="257"/>
      <c r="B226" s="134" t="s">
        <v>92</v>
      </c>
      <c r="C226" s="124" t="s">
        <v>6</v>
      </c>
      <c r="D226" s="126" t="s">
        <v>168</v>
      </c>
      <c r="E226" s="136" t="s">
        <v>168</v>
      </c>
      <c r="F226" s="136" t="s">
        <v>168</v>
      </c>
      <c r="G226" s="126" t="s">
        <v>36</v>
      </c>
      <c r="H226" s="128" t="s">
        <v>168</v>
      </c>
      <c r="I226" s="137">
        <v>100</v>
      </c>
      <c r="J226" s="130">
        <f>J227</f>
        <v>16775400</v>
      </c>
      <c r="K226" s="131">
        <f>K227</f>
        <v>0</v>
      </c>
      <c r="L226" s="131">
        <f>L227</f>
        <v>23652047.83</v>
      </c>
      <c r="M226" s="132">
        <f>M227</f>
        <v>23652047.83</v>
      </c>
      <c r="N226" s="133">
        <f>N227</f>
        <v>23652047.83</v>
      </c>
      <c r="O226" s="113"/>
    </row>
    <row r="227" spans="1:15" s="122" customFormat="1" ht="25.5">
      <c r="A227" s="257"/>
      <c r="B227" s="134" t="s">
        <v>82</v>
      </c>
      <c r="C227" s="124" t="s">
        <v>6</v>
      </c>
      <c r="D227" s="126" t="s">
        <v>168</v>
      </c>
      <c r="E227" s="136" t="s">
        <v>168</v>
      </c>
      <c r="F227" s="136" t="s">
        <v>168</v>
      </c>
      <c r="G227" s="126" t="s">
        <v>36</v>
      </c>
      <c r="H227" s="128" t="s">
        <v>168</v>
      </c>
      <c r="I227" s="137">
        <v>120</v>
      </c>
      <c r="J227" s="154">
        <v>16775400</v>
      </c>
      <c r="K227" s="138">
        <v>0</v>
      </c>
      <c r="L227" s="138">
        <v>23652047.83</v>
      </c>
      <c r="M227" s="138">
        <v>23652047.83</v>
      </c>
      <c r="N227" s="139">
        <v>23652047.83</v>
      </c>
      <c r="O227" s="113"/>
    </row>
    <row r="228" spans="1:15" s="122" customFormat="1" ht="25.5">
      <c r="A228" s="257"/>
      <c r="B228" s="134" t="s">
        <v>73</v>
      </c>
      <c r="C228" s="124" t="s">
        <v>6</v>
      </c>
      <c r="D228" s="126" t="s">
        <v>168</v>
      </c>
      <c r="E228" s="136" t="s">
        <v>168</v>
      </c>
      <c r="F228" s="136" t="s">
        <v>168</v>
      </c>
      <c r="G228" s="126" t="s">
        <v>36</v>
      </c>
      <c r="H228" s="128" t="s">
        <v>168</v>
      </c>
      <c r="I228" s="137">
        <v>200</v>
      </c>
      <c r="J228" s="154">
        <f>J229</f>
        <v>275700</v>
      </c>
      <c r="K228" s="138">
        <f>K229</f>
        <v>0</v>
      </c>
      <c r="L228" s="138">
        <f>L229</f>
        <v>275700</v>
      </c>
      <c r="M228" s="139">
        <f>M229</f>
        <v>275700</v>
      </c>
      <c r="N228" s="140">
        <f>N229</f>
        <v>275700</v>
      </c>
      <c r="O228" s="113"/>
    </row>
    <row r="229" spans="1:15" s="122" customFormat="1" ht="25.5">
      <c r="A229" s="257"/>
      <c r="B229" s="134" t="s">
        <v>75</v>
      </c>
      <c r="C229" s="124" t="s">
        <v>6</v>
      </c>
      <c r="D229" s="126" t="s">
        <v>168</v>
      </c>
      <c r="E229" s="136" t="s">
        <v>168</v>
      </c>
      <c r="F229" s="136" t="s">
        <v>168</v>
      </c>
      <c r="G229" s="126" t="s">
        <v>36</v>
      </c>
      <c r="H229" s="128" t="s">
        <v>168</v>
      </c>
      <c r="I229" s="137">
        <v>240</v>
      </c>
      <c r="J229" s="154">
        <v>275700</v>
      </c>
      <c r="K229" s="138">
        <v>0</v>
      </c>
      <c r="L229" s="138">
        <f>265700+10000</f>
        <v>275700</v>
      </c>
      <c r="M229" s="138">
        <f>265700+10000</f>
        <v>275700</v>
      </c>
      <c r="N229" s="139">
        <f>265700+10000</f>
        <v>275700</v>
      </c>
      <c r="O229" s="113"/>
    </row>
    <row r="230" spans="1:15" ht="12.75">
      <c r="A230" s="260"/>
      <c r="B230" s="134" t="s">
        <v>162</v>
      </c>
      <c r="C230" s="144" t="s">
        <v>6</v>
      </c>
      <c r="D230" s="272" t="s">
        <v>168</v>
      </c>
      <c r="E230" s="136" t="s">
        <v>168</v>
      </c>
      <c r="F230" s="136" t="s">
        <v>168</v>
      </c>
      <c r="G230" s="160" t="s">
        <v>5</v>
      </c>
      <c r="H230" s="128" t="s">
        <v>168</v>
      </c>
      <c r="I230" s="129"/>
      <c r="J230" s="130">
        <f>J231+J233</f>
        <v>8186469</v>
      </c>
      <c r="K230" s="131">
        <f>K231+K233</f>
        <v>0</v>
      </c>
      <c r="L230" s="131">
        <f>L231+L233</f>
        <v>2001700</v>
      </c>
      <c r="M230" s="132">
        <f>M231+M233</f>
        <v>1988400</v>
      </c>
      <c r="N230" s="133">
        <f>N231+N233</f>
        <v>1988400</v>
      </c>
      <c r="O230" s="113"/>
    </row>
    <row r="231" spans="1:15" ht="25.5">
      <c r="A231" s="260"/>
      <c r="B231" s="197" t="s">
        <v>157</v>
      </c>
      <c r="C231" s="255" t="s">
        <v>6</v>
      </c>
      <c r="D231" s="256" t="s">
        <v>168</v>
      </c>
      <c r="E231" s="136" t="s">
        <v>168</v>
      </c>
      <c r="F231" s="136" t="s">
        <v>168</v>
      </c>
      <c r="G231" s="256" t="s">
        <v>5</v>
      </c>
      <c r="H231" s="128" t="s">
        <v>168</v>
      </c>
      <c r="I231" s="201" t="s">
        <v>74</v>
      </c>
      <c r="J231" s="130">
        <f>J232</f>
        <v>69000</v>
      </c>
      <c r="K231" s="131">
        <f>K232</f>
        <v>0</v>
      </c>
      <c r="L231" s="131">
        <f>L232</f>
        <v>69000</v>
      </c>
      <c r="M231" s="132">
        <f>M232</f>
        <v>69000</v>
      </c>
      <c r="N231" s="133">
        <f>N232</f>
        <v>69000</v>
      </c>
      <c r="O231" s="113"/>
    </row>
    <row r="232" spans="1:15" ht="25.5">
      <c r="A232" s="260"/>
      <c r="B232" s="197" t="s">
        <v>75</v>
      </c>
      <c r="C232" s="255" t="s">
        <v>6</v>
      </c>
      <c r="D232" s="256" t="s">
        <v>168</v>
      </c>
      <c r="E232" s="136" t="s">
        <v>168</v>
      </c>
      <c r="F232" s="136" t="s">
        <v>168</v>
      </c>
      <c r="G232" s="256" t="s">
        <v>5</v>
      </c>
      <c r="H232" s="128" t="s">
        <v>168</v>
      </c>
      <c r="I232" s="201" t="s">
        <v>76</v>
      </c>
      <c r="J232" s="130">
        <v>69000</v>
      </c>
      <c r="K232" s="131">
        <v>0</v>
      </c>
      <c r="L232" s="131">
        <v>69000</v>
      </c>
      <c r="M232" s="132">
        <v>69000</v>
      </c>
      <c r="N232" s="133">
        <v>69000</v>
      </c>
      <c r="O232" s="113"/>
    </row>
    <row r="233" spans="1:15" ht="25.5">
      <c r="A233" s="260"/>
      <c r="B233" s="134" t="s">
        <v>29</v>
      </c>
      <c r="C233" s="144" t="s">
        <v>6</v>
      </c>
      <c r="D233" s="272" t="s">
        <v>168</v>
      </c>
      <c r="E233" s="136" t="s">
        <v>168</v>
      </c>
      <c r="F233" s="136" t="s">
        <v>168</v>
      </c>
      <c r="G233" s="160" t="s">
        <v>5</v>
      </c>
      <c r="H233" s="128" t="s">
        <v>168</v>
      </c>
      <c r="I233" s="129">
        <v>600</v>
      </c>
      <c r="J233" s="130">
        <f>J234</f>
        <v>8117469</v>
      </c>
      <c r="K233" s="131">
        <f>K234</f>
        <v>0</v>
      </c>
      <c r="L233" s="131">
        <f>L234</f>
        <v>1932700</v>
      </c>
      <c r="M233" s="132">
        <f>M234</f>
        <v>1919400</v>
      </c>
      <c r="N233" s="133">
        <f>N234</f>
        <v>1919400</v>
      </c>
      <c r="O233" s="113"/>
    </row>
    <row r="234" spans="1:15" ht="12.75">
      <c r="A234" s="260"/>
      <c r="B234" s="134" t="s">
        <v>30</v>
      </c>
      <c r="C234" s="144" t="s">
        <v>6</v>
      </c>
      <c r="D234" s="272" t="s">
        <v>168</v>
      </c>
      <c r="E234" s="136" t="s">
        <v>168</v>
      </c>
      <c r="F234" s="136" t="s">
        <v>168</v>
      </c>
      <c r="G234" s="160" t="s">
        <v>5</v>
      </c>
      <c r="H234" s="128" t="s">
        <v>168</v>
      </c>
      <c r="I234" s="129" t="s">
        <v>31</v>
      </c>
      <c r="J234" s="154">
        <f>6401169+1629100+87200</f>
        <v>8117469</v>
      </c>
      <c r="K234" s="138">
        <v>0</v>
      </c>
      <c r="L234" s="138">
        <f>120000+39400+57000+1609100+107200</f>
        <v>1932700</v>
      </c>
      <c r="M234" s="139">
        <f>120000+39400+43700+1609100+107200</f>
        <v>1919400</v>
      </c>
      <c r="N234" s="140">
        <f>120000+39400+43700+1609100+107200</f>
        <v>1919400</v>
      </c>
      <c r="O234" s="113"/>
    </row>
    <row r="235" spans="1:15" ht="25.5">
      <c r="A235" s="260"/>
      <c r="B235" s="134" t="s">
        <v>180</v>
      </c>
      <c r="C235" s="144" t="s">
        <v>6</v>
      </c>
      <c r="D235" s="272" t="s">
        <v>168</v>
      </c>
      <c r="E235" s="136" t="s">
        <v>168</v>
      </c>
      <c r="F235" s="136" t="s">
        <v>168</v>
      </c>
      <c r="G235" s="160" t="s">
        <v>181</v>
      </c>
      <c r="H235" s="128" t="s">
        <v>168</v>
      </c>
      <c r="I235" s="129"/>
      <c r="J235" s="130">
        <f aca="true" t="shared" si="43" ref="J235:N236">J236</f>
        <v>306406674</v>
      </c>
      <c r="K235" s="131">
        <f t="shared" si="43"/>
        <v>0</v>
      </c>
      <c r="L235" s="131">
        <f t="shared" si="43"/>
        <v>338462700</v>
      </c>
      <c r="M235" s="132">
        <f t="shared" si="43"/>
        <v>335560400</v>
      </c>
      <c r="N235" s="133">
        <f t="shared" si="43"/>
        <v>334781800</v>
      </c>
      <c r="O235" s="113"/>
    </row>
    <row r="236" spans="1:15" ht="25.5">
      <c r="A236" s="260"/>
      <c r="B236" s="134" t="s">
        <v>29</v>
      </c>
      <c r="C236" s="124" t="s">
        <v>6</v>
      </c>
      <c r="D236" s="125" t="s">
        <v>168</v>
      </c>
      <c r="E236" s="136" t="s">
        <v>168</v>
      </c>
      <c r="F236" s="136" t="s">
        <v>168</v>
      </c>
      <c r="G236" s="127" t="s">
        <v>181</v>
      </c>
      <c r="H236" s="128" t="s">
        <v>168</v>
      </c>
      <c r="I236" s="129">
        <v>600</v>
      </c>
      <c r="J236" s="130">
        <f t="shared" si="43"/>
        <v>306406674</v>
      </c>
      <c r="K236" s="131">
        <f t="shared" si="43"/>
        <v>0</v>
      </c>
      <c r="L236" s="131">
        <f t="shared" si="43"/>
        <v>338462700</v>
      </c>
      <c r="M236" s="132">
        <f t="shared" si="43"/>
        <v>335560400</v>
      </c>
      <c r="N236" s="133">
        <f t="shared" si="43"/>
        <v>334781800</v>
      </c>
      <c r="O236" s="113"/>
    </row>
    <row r="237" spans="1:15" ht="12.75">
      <c r="A237" s="260"/>
      <c r="B237" s="134" t="s">
        <v>30</v>
      </c>
      <c r="C237" s="124" t="s">
        <v>6</v>
      </c>
      <c r="D237" s="125" t="s">
        <v>168</v>
      </c>
      <c r="E237" s="136" t="s">
        <v>168</v>
      </c>
      <c r="F237" s="136" t="s">
        <v>168</v>
      </c>
      <c r="G237" s="127" t="s">
        <v>181</v>
      </c>
      <c r="H237" s="128" t="s">
        <v>168</v>
      </c>
      <c r="I237" s="129" t="s">
        <v>31</v>
      </c>
      <c r="J237" s="154">
        <f>216164874+90241800</f>
        <v>306406674</v>
      </c>
      <c r="K237" s="138">
        <v>0</v>
      </c>
      <c r="L237" s="138">
        <f>236462700+102000000</f>
        <v>338462700</v>
      </c>
      <c r="M237" s="139">
        <f>233560400+102000000</f>
        <v>335560400</v>
      </c>
      <c r="N237" s="140">
        <f>232781800+102000000</f>
        <v>334781800</v>
      </c>
      <c r="O237" s="113"/>
    </row>
    <row r="238" spans="1:15" ht="25.5">
      <c r="A238" s="260"/>
      <c r="B238" s="134" t="s">
        <v>183</v>
      </c>
      <c r="C238" s="124" t="s">
        <v>6</v>
      </c>
      <c r="D238" s="125" t="s">
        <v>168</v>
      </c>
      <c r="E238" s="136" t="s">
        <v>168</v>
      </c>
      <c r="F238" s="136" t="s">
        <v>168</v>
      </c>
      <c r="G238" s="127" t="s">
        <v>184</v>
      </c>
      <c r="H238" s="128" t="s">
        <v>168</v>
      </c>
      <c r="I238" s="129"/>
      <c r="J238" s="130">
        <f aca="true" t="shared" si="44" ref="J238:N239">J239</f>
        <v>20952780</v>
      </c>
      <c r="K238" s="131">
        <f t="shared" si="44"/>
        <v>0</v>
      </c>
      <c r="L238" s="131">
        <f t="shared" si="44"/>
        <v>18313700</v>
      </c>
      <c r="M238" s="132">
        <f t="shared" si="44"/>
        <v>18313700</v>
      </c>
      <c r="N238" s="133">
        <f t="shared" si="44"/>
        <v>18313700</v>
      </c>
      <c r="O238" s="113"/>
    </row>
    <row r="239" spans="1:15" ht="25.5">
      <c r="A239" s="260"/>
      <c r="B239" s="134" t="s">
        <v>29</v>
      </c>
      <c r="C239" s="124" t="s">
        <v>6</v>
      </c>
      <c r="D239" s="125" t="s">
        <v>168</v>
      </c>
      <c r="E239" s="136" t="s">
        <v>168</v>
      </c>
      <c r="F239" s="136" t="s">
        <v>168</v>
      </c>
      <c r="G239" s="127" t="s">
        <v>184</v>
      </c>
      <c r="H239" s="128" t="s">
        <v>168</v>
      </c>
      <c r="I239" s="129">
        <v>600</v>
      </c>
      <c r="J239" s="130">
        <f t="shared" si="44"/>
        <v>20952780</v>
      </c>
      <c r="K239" s="131">
        <f t="shared" si="44"/>
        <v>0</v>
      </c>
      <c r="L239" s="131">
        <f t="shared" si="44"/>
        <v>18313700</v>
      </c>
      <c r="M239" s="132">
        <f t="shared" si="44"/>
        <v>18313700</v>
      </c>
      <c r="N239" s="133">
        <f t="shared" si="44"/>
        <v>18313700</v>
      </c>
      <c r="O239" s="113"/>
    </row>
    <row r="240" spans="1:15" ht="12.75">
      <c r="A240" s="260"/>
      <c r="B240" s="134" t="s">
        <v>30</v>
      </c>
      <c r="C240" s="124" t="s">
        <v>6</v>
      </c>
      <c r="D240" s="125" t="s">
        <v>168</v>
      </c>
      <c r="E240" s="136" t="s">
        <v>168</v>
      </c>
      <c r="F240" s="136" t="s">
        <v>168</v>
      </c>
      <c r="G240" s="127" t="s">
        <v>184</v>
      </c>
      <c r="H240" s="128" t="s">
        <v>168</v>
      </c>
      <c r="I240" s="129" t="s">
        <v>31</v>
      </c>
      <c r="J240" s="279">
        <v>20952780</v>
      </c>
      <c r="K240" s="149">
        <v>0</v>
      </c>
      <c r="L240" s="149">
        <v>18313700</v>
      </c>
      <c r="M240" s="150">
        <v>18313700</v>
      </c>
      <c r="N240" s="151">
        <v>18313700</v>
      </c>
      <c r="O240" s="113"/>
    </row>
    <row r="241" spans="1:15" ht="38.25">
      <c r="A241" s="260"/>
      <c r="B241" s="123" t="s">
        <v>381</v>
      </c>
      <c r="C241" s="124" t="s">
        <v>6</v>
      </c>
      <c r="D241" s="125" t="s">
        <v>168</v>
      </c>
      <c r="E241" s="126" t="s">
        <v>168</v>
      </c>
      <c r="F241" s="126" t="s">
        <v>168</v>
      </c>
      <c r="G241" s="127" t="s">
        <v>287</v>
      </c>
      <c r="H241" s="128" t="s">
        <v>168</v>
      </c>
      <c r="I241" s="129"/>
      <c r="J241" s="130">
        <f aca="true" t="shared" si="45" ref="J241:N242">J242</f>
        <v>268000</v>
      </c>
      <c r="K241" s="131">
        <f t="shared" si="45"/>
        <v>0</v>
      </c>
      <c r="L241" s="131">
        <f t="shared" si="45"/>
        <v>268000</v>
      </c>
      <c r="M241" s="132">
        <f t="shared" si="45"/>
        <v>268000</v>
      </c>
      <c r="N241" s="133">
        <f t="shared" si="45"/>
        <v>268000</v>
      </c>
      <c r="O241" s="113"/>
    </row>
    <row r="242" spans="1:15" ht="25.5">
      <c r="A242" s="260"/>
      <c r="B242" s="134" t="s">
        <v>29</v>
      </c>
      <c r="C242" s="124" t="s">
        <v>6</v>
      </c>
      <c r="D242" s="125" t="s">
        <v>168</v>
      </c>
      <c r="E242" s="126" t="s">
        <v>168</v>
      </c>
      <c r="F242" s="126" t="s">
        <v>168</v>
      </c>
      <c r="G242" s="127" t="s">
        <v>287</v>
      </c>
      <c r="H242" s="128" t="s">
        <v>168</v>
      </c>
      <c r="I242" s="129" t="s">
        <v>182</v>
      </c>
      <c r="J242" s="130">
        <f t="shared" si="45"/>
        <v>268000</v>
      </c>
      <c r="K242" s="131">
        <f t="shared" si="45"/>
        <v>0</v>
      </c>
      <c r="L242" s="131">
        <f t="shared" si="45"/>
        <v>268000</v>
      </c>
      <c r="M242" s="132">
        <f t="shared" si="45"/>
        <v>268000</v>
      </c>
      <c r="N242" s="133">
        <f t="shared" si="45"/>
        <v>268000</v>
      </c>
      <c r="O242" s="113"/>
    </row>
    <row r="243" spans="1:15" ht="12.75">
      <c r="A243" s="260"/>
      <c r="B243" s="134" t="s">
        <v>30</v>
      </c>
      <c r="C243" s="124" t="s">
        <v>6</v>
      </c>
      <c r="D243" s="125" t="s">
        <v>168</v>
      </c>
      <c r="E243" s="126" t="s">
        <v>168</v>
      </c>
      <c r="F243" s="126" t="s">
        <v>168</v>
      </c>
      <c r="G243" s="127" t="s">
        <v>287</v>
      </c>
      <c r="H243" s="128" t="s">
        <v>168</v>
      </c>
      <c r="I243" s="129" t="s">
        <v>31</v>
      </c>
      <c r="J243" s="130">
        <v>268000</v>
      </c>
      <c r="K243" s="131">
        <v>0</v>
      </c>
      <c r="L243" s="149">
        <v>268000</v>
      </c>
      <c r="M243" s="150">
        <v>268000</v>
      </c>
      <c r="N243" s="151">
        <v>268000</v>
      </c>
      <c r="O243" s="113"/>
    </row>
    <row r="244" spans="1:15" ht="38.25">
      <c r="A244" s="260"/>
      <c r="B244" s="134" t="s">
        <v>283</v>
      </c>
      <c r="C244" s="124" t="s">
        <v>6</v>
      </c>
      <c r="D244" s="125" t="s">
        <v>168</v>
      </c>
      <c r="E244" s="126" t="s">
        <v>168</v>
      </c>
      <c r="F244" s="126" t="s">
        <v>168</v>
      </c>
      <c r="G244" s="127" t="s">
        <v>281</v>
      </c>
      <c r="H244" s="128" t="s">
        <v>168</v>
      </c>
      <c r="I244" s="129"/>
      <c r="J244" s="130">
        <f>J245+J253</f>
        <v>8180620</v>
      </c>
      <c r="K244" s="131">
        <f>K245+K253</f>
        <v>0</v>
      </c>
      <c r="L244" s="131">
        <f>L245+L253</f>
        <v>12973200</v>
      </c>
      <c r="M244" s="132">
        <f>M245+M253</f>
        <v>13741400</v>
      </c>
      <c r="N244" s="133">
        <f>N245+N253</f>
        <v>14520000</v>
      </c>
      <c r="O244" s="113"/>
    </row>
    <row r="245" spans="1:15" ht="25.5">
      <c r="A245" s="260"/>
      <c r="B245" s="134" t="s">
        <v>29</v>
      </c>
      <c r="C245" s="124" t="s">
        <v>6</v>
      </c>
      <c r="D245" s="125" t="s">
        <v>168</v>
      </c>
      <c r="E245" s="126" t="s">
        <v>168</v>
      </c>
      <c r="F245" s="126" t="s">
        <v>168</v>
      </c>
      <c r="G245" s="127" t="s">
        <v>281</v>
      </c>
      <c r="H245" s="128" t="s">
        <v>168</v>
      </c>
      <c r="I245" s="129">
        <v>600</v>
      </c>
      <c r="J245" s="130">
        <f>J246+J251+J252</f>
        <v>8089646</v>
      </c>
      <c r="K245" s="131">
        <f>K246+K251+K252</f>
        <v>-0.08</v>
      </c>
      <c r="L245" s="131">
        <f>L246+L251+L252</f>
        <v>12692000</v>
      </c>
      <c r="M245" s="132">
        <f>M246+M251+M252</f>
        <v>13442100</v>
      </c>
      <c r="N245" s="133">
        <f>N246+N251+N252</f>
        <v>14203000</v>
      </c>
      <c r="O245" s="113"/>
    </row>
    <row r="246" spans="1:15" ht="12.75">
      <c r="A246" s="260"/>
      <c r="B246" s="134" t="s">
        <v>30</v>
      </c>
      <c r="C246" s="124" t="s">
        <v>6</v>
      </c>
      <c r="D246" s="125" t="s">
        <v>168</v>
      </c>
      <c r="E246" s="126" t="s">
        <v>168</v>
      </c>
      <c r="F246" s="126" t="s">
        <v>168</v>
      </c>
      <c r="G246" s="127" t="s">
        <v>281</v>
      </c>
      <c r="H246" s="128" t="s">
        <v>168</v>
      </c>
      <c r="I246" s="129" t="s">
        <v>31</v>
      </c>
      <c r="J246" s="279">
        <f>7815746+91300</f>
        <v>7907046</v>
      </c>
      <c r="K246" s="149">
        <v>-0.08</v>
      </c>
      <c r="L246" s="149">
        <f>11843000+283000</f>
        <v>12126000</v>
      </c>
      <c r="M246" s="150">
        <f>12544200+299300</f>
        <v>12843500</v>
      </c>
      <c r="N246" s="151">
        <f>13255000+316000</f>
        <v>13571000</v>
      </c>
      <c r="O246" s="113"/>
    </row>
    <row r="247" spans="1:15" ht="12.75" hidden="1">
      <c r="A247" s="260"/>
      <c r="B247" s="134" t="s">
        <v>284</v>
      </c>
      <c r="C247" s="124" t="s">
        <v>6</v>
      </c>
      <c r="D247" s="125" t="s">
        <v>168</v>
      </c>
      <c r="E247" s="126" t="s">
        <v>168</v>
      </c>
      <c r="F247" s="126" t="s">
        <v>168</v>
      </c>
      <c r="G247" s="127" t="s">
        <v>281</v>
      </c>
      <c r="H247" s="128" t="s">
        <v>168</v>
      </c>
      <c r="I247" s="129" t="s">
        <v>282</v>
      </c>
      <c r="J247" s="279">
        <v>91300</v>
      </c>
      <c r="K247" s="149">
        <v>91300</v>
      </c>
      <c r="L247" s="149">
        <v>282550</v>
      </c>
      <c r="M247" s="150">
        <v>299300</v>
      </c>
      <c r="N247" s="151">
        <v>316250</v>
      </c>
      <c r="O247" s="113"/>
    </row>
    <row r="248" spans="1:15" ht="38.25" hidden="1">
      <c r="A248" s="260"/>
      <c r="B248" s="134" t="s">
        <v>265</v>
      </c>
      <c r="C248" s="124" t="s">
        <v>6</v>
      </c>
      <c r="D248" s="125" t="s">
        <v>168</v>
      </c>
      <c r="E248" s="126" t="s">
        <v>168</v>
      </c>
      <c r="F248" s="126" t="s">
        <v>168</v>
      </c>
      <c r="G248" s="127" t="s">
        <v>281</v>
      </c>
      <c r="H248" s="128" t="s">
        <v>168</v>
      </c>
      <c r="I248" s="129" t="s">
        <v>193</v>
      </c>
      <c r="J248" s="279">
        <v>91300</v>
      </c>
      <c r="K248" s="149">
        <v>91300</v>
      </c>
      <c r="L248" s="149">
        <v>282550</v>
      </c>
      <c r="M248" s="150">
        <v>299300</v>
      </c>
      <c r="N248" s="151">
        <v>316250</v>
      </c>
      <c r="O248" s="113"/>
    </row>
    <row r="249" spans="1:15" ht="12.75" hidden="1">
      <c r="A249" s="260"/>
      <c r="B249" s="134" t="s">
        <v>83</v>
      </c>
      <c r="C249" s="124" t="s">
        <v>6</v>
      </c>
      <c r="D249" s="125" t="s">
        <v>168</v>
      </c>
      <c r="E249" s="126" t="s">
        <v>168</v>
      </c>
      <c r="F249" s="126" t="s">
        <v>168</v>
      </c>
      <c r="G249" s="127" t="s">
        <v>281</v>
      </c>
      <c r="H249" s="128" t="s">
        <v>168</v>
      </c>
      <c r="I249" s="129" t="s">
        <v>84</v>
      </c>
      <c r="J249" s="279">
        <f>J250</f>
        <v>90974</v>
      </c>
      <c r="K249" s="149">
        <f>K250</f>
        <v>90974</v>
      </c>
      <c r="L249" s="149">
        <f>L250</f>
        <v>282550</v>
      </c>
      <c r="M249" s="150">
        <f>M250</f>
        <v>299300</v>
      </c>
      <c r="N249" s="151">
        <f>N250</f>
        <v>316250</v>
      </c>
      <c r="O249" s="113"/>
    </row>
    <row r="250" spans="1:15" ht="38.25" hidden="1">
      <c r="A250" s="260"/>
      <c r="B250" s="134" t="s">
        <v>209</v>
      </c>
      <c r="C250" s="124" t="s">
        <v>6</v>
      </c>
      <c r="D250" s="125" t="s">
        <v>168</v>
      </c>
      <c r="E250" s="126" t="s">
        <v>168</v>
      </c>
      <c r="F250" s="126" t="s">
        <v>168</v>
      </c>
      <c r="G250" s="127" t="s">
        <v>281</v>
      </c>
      <c r="H250" s="128" t="s">
        <v>168</v>
      </c>
      <c r="I250" s="129" t="s">
        <v>173</v>
      </c>
      <c r="J250" s="279">
        <v>90974</v>
      </c>
      <c r="K250" s="149">
        <v>90974</v>
      </c>
      <c r="L250" s="149">
        <v>282550</v>
      </c>
      <c r="M250" s="150">
        <v>299300</v>
      </c>
      <c r="N250" s="151">
        <v>316250</v>
      </c>
      <c r="O250" s="113"/>
    </row>
    <row r="251" spans="1:15" ht="21.75" customHeight="1">
      <c r="A251" s="260"/>
      <c r="B251" s="134" t="s">
        <v>299</v>
      </c>
      <c r="C251" s="124" t="s">
        <v>6</v>
      </c>
      <c r="D251" s="125" t="s">
        <v>168</v>
      </c>
      <c r="E251" s="126" t="s">
        <v>168</v>
      </c>
      <c r="F251" s="126" t="s">
        <v>168</v>
      </c>
      <c r="G251" s="127" t="s">
        <v>281</v>
      </c>
      <c r="H251" s="128" t="s">
        <v>168</v>
      </c>
      <c r="I251" s="129" t="s">
        <v>282</v>
      </c>
      <c r="J251" s="279">
        <v>91300</v>
      </c>
      <c r="K251" s="149">
        <v>0</v>
      </c>
      <c r="L251" s="149">
        <v>283000</v>
      </c>
      <c r="M251" s="150">
        <v>299300</v>
      </c>
      <c r="N251" s="151">
        <v>316000</v>
      </c>
      <c r="O251" s="113"/>
    </row>
    <row r="252" spans="1:15" ht="38.25">
      <c r="A252" s="260"/>
      <c r="B252" s="134" t="s">
        <v>265</v>
      </c>
      <c r="C252" s="124" t="s">
        <v>6</v>
      </c>
      <c r="D252" s="125" t="s">
        <v>168</v>
      </c>
      <c r="E252" s="126" t="s">
        <v>168</v>
      </c>
      <c r="F252" s="126" t="s">
        <v>168</v>
      </c>
      <c r="G252" s="127" t="s">
        <v>281</v>
      </c>
      <c r="H252" s="128" t="s">
        <v>168</v>
      </c>
      <c r="I252" s="129" t="s">
        <v>193</v>
      </c>
      <c r="J252" s="279">
        <v>91300</v>
      </c>
      <c r="K252" s="149">
        <v>0</v>
      </c>
      <c r="L252" s="149">
        <v>283000</v>
      </c>
      <c r="M252" s="150">
        <v>299300</v>
      </c>
      <c r="N252" s="151">
        <v>316000</v>
      </c>
      <c r="O252" s="113"/>
    </row>
    <row r="253" spans="1:15" ht="12.75">
      <c r="A253" s="260"/>
      <c r="B253" s="134" t="s">
        <v>83</v>
      </c>
      <c r="C253" s="124" t="s">
        <v>6</v>
      </c>
      <c r="D253" s="125" t="s">
        <v>168</v>
      </c>
      <c r="E253" s="126" t="s">
        <v>168</v>
      </c>
      <c r="F253" s="126" t="s">
        <v>168</v>
      </c>
      <c r="G253" s="127" t="s">
        <v>281</v>
      </c>
      <c r="H253" s="128" t="s">
        <v>168</v>
      </c>
      <c r="I253" s="129" t="s">
        <v>84</v>
      </c>
      <c r="J253" s="279">
        <f>J254</f>
        <v>90974</v>
      </c>
      <c r="K253" s="149">
        <f>K254</f>
        <v>0.08</v>
      </c>
      <c r="L253" s="149">
        <f>L254</f>
        <v>281200</v>
      </c>
      <c r="M253" s="150">
        <f>M254</f>
        <v>299300</v>
      </c>
      <c r="N253" s="151">
        <f>N254</f>
        <v>317000</v>
      </c>
      <c r="O253" s="113"/>
    </row>
    <row r="254" spans="1:15" ht="38.25">
      <c r="A254" s="260"/>
      <c r="B254" s="134" t="s">
        <v>209</v>
      </c>
      <c r="C254" s="124" t="s">
        <v>6</v>
      </c>
      <c r="D254" s="125" t="s">
        <v>168</v>
      </c>
      <c r="E254" s="126" t="s">
        <v>168</v>
      </c>
      <c r="F254" s="126" t="s">
        <v>168</v>
      </c>
      <c r="G254" s="127" t="s">
        <v>281</v>
      </c>
      <c r="H254" s="128" t="s">
        <v>168</v>
      </c>
      <c r="I254" s="129" t="s">
        <v>173</v>
      </c>
      <c r="J254" s="279">
        <v>90974</v>
      </c>
      <c r="K254" s="149">
        <v>0.08</v>
      </c>
      <c r="L254" s="149">
        <v>281200</v>
      </c>
      <c r="M254" s="150">
        <v>299300</v>
      </c>
      <c r="N254" s="151">
        <v>317000</v>
      </c>
      <c r="O254" s="113"/>
    </row>
    <row r="255" spans="1:15" ht="51">
      <c r="A255" s="260"/>
      <c r="B255" s="134" t="s">
        <v>311</v>
      </c>
      <c r="C255" s="124" t="s">
        <v>6</v>
      </c>
      <c r="D255" s="125" t="s">
        <v>168</v>
      </c>
      <c r="E255" s="126" t="s">
        <v>168</v>
      </c>
      <c r="F255" s="126" t="s">
        <v>168</v>
      </c>
      <c r="G255" s="127" t="s">
        <v>285</v>
      </c>
      <c r="H255" s="128" t="s">
        <v>166</v>
      </c>
      <c r="I255" s="129"/>
      <c r="J255" s="130">
        <f aca="true" t="shared" si="46" ref="J255:N256">J256</f>
        <v>10533133.85</v>
      </c>
      <c r="K255" s="131">
        <f t="shared" si="46"/>
        <v>0</v>
      </c>
      <c r="L255" s="131">
        <f t="shared" si="46"/>
        <v>10065005.83</v>
      </c>
      <c r="M255" s="132">
        <f t="shared" si="46"/>
        <v>9888486.22</v>
      </c>
      <c r="N255" s="133">
        <f t="shared" si="46"/>
        <v>9629151.95</v>
      </c>
      <c r="O255" s="113"/>
    </row>
    <row r="256" spans="1:15" ht="25.5">
      <c r="A256" s="260"/>
      <c r="B256" s="134" t="s">
        <v>29</v>
      </c>
      <c r="C256" s="124" t="s">
        <v>6</v>
      </c>
      <c r="D256" s="125" t="s">
        <v>168</v>
      </c>
      <c r="E256" s="126" t="s">
        <v>168</v>
      </c>
      <c r="F256" s="126" t="s">
        <v>168</v>
      </c>
      <c r="G256" s="127" t="s">
        <v>285</v>
      </c>
      <c r="H256" s="128" t="s">
        <v>166</v>
      </c>
      <c r="I256" s="129" t="s">
        <v>182</v>
      </c>
      <c r="J256" s="130">
        <f t="shared" si="46"/>
        <v>10533133.85</v>
      </c>
      <c r="K256" s="131">
        <f t="shared" si="46"/>
        <v>0</v>
      </c>
      <c r="L256" s="131">
        <f t="shared" si="46"/>
        <v>10065005.83</v>
      </c>
      <c r="M256" s="132">
        <f t="shared" si="46"/>
        <v>9888486.22</v>
      </c>
      <c r="N256" s="133">
        <f t="shared" si="46"/>
        <v>9629151.95</v>
      </c>
      <c r="O256" s="113"/>
    </row>
    <row r="257" spans="1:15" ht="12.75">
      <c r="A257" s="260"/>
      <c r="B257" s="134" t="s">
        <v>30</v>
      </c>
      <c r="C257" s="124" t="s">
        <v>6</v>
      </c>
      <c r="D257" s="125" t="s">
        <v>168</v>
      </c>
      <c r="E257" s="126" t="s">
        <v>168</v>
      </c>
      <c r="F257" s="126" t="s">
        <v>168</v>
      </c>
      <c r="G257" s="127" t="s">
        <v>285</v>
      </c>
      <c r="H257" s="128" t="s">
        <v>166</v>
      </c>
      <c r="I257" s="129" t="s">
        <v>31</v>
      </c>
      <c r="J257" s="130">
        <f>10483133.85+50000</f>
        <v>10533133.85</v>
      </c>
      <c r="K257" s="131">
        <v>0</v>
      </c>
      <c r="L257" s="138">
        <f>10015005.83+50000</f>
        <v>10065005.83</v>
      </c>
      <c r="M257" s="139">
        <f>9838486.22+50000</f>
        <v>9888486.22</v>
      </c>
      <c r="N257" s="140">
        <f>9579151.95+50000</f>
        <v>9629151.95</v>
      </c>
      <c r="O257" s="113"/>
    </row>
    <row r="258" spans="1:15" ht="51">
      <c r="A258" s="260"/>
      <c r="B258" s="220" t="s">
        <v>315</v>
      </c>
      <c r="C258" s="144" t="s">
        <v>6</v>
      </c>
      <c r="D258" s="126" t="s">
        <v>168</v>
      </c>
      <c r="E258" s="126" t="s">
        <v>168</v>
      </c>
      <c r="F258" s="126" t="s">
        <v>168</v>
      </c>
      <c r="G258" s="160" t="s">
        <v>310</v>
      </c>
      <c r="H258" s="128" t="s">
        <v>168</v>
      </c>
      <c r="I258" s="137"/>
      <c r="J258" s="130">
        <f aca="true" t="shared" si="47" ref="J258:N259">J259</f>
        <v>1208888</v>
      </c>
      <c r="K258" s="131">
        <f t="shared" si="47"/>
        <v>0</v>
      </c>
      <c r="L258" s="131">
        <f t="shared" si="47"/>
        <v>1202312</v>
      </c>
      <c r="M258" s="132">
        <f t="shared" si="47"/>
        <v>1202312</v>
      </c>
      <c r="N258" s="133">
        <f t="shared" si="47"/>
        <v>1202312</v>
      </c>
      <c r="O258" s="113"/>
    </row>
    <row r="259" spans="1:15" ht="25.5">
      <c r="A259" s="260"/>
      <c r="B259" s="134" t="s">
        <v>29</v>
      </c>
      <c r="C259" s="144" t="s">
        <v>6</v>
      </c>
      <c r="D259" s="126" t="s">
        <v>168</v>
      </c>
      <c r="E259" s="126" t="s">
        <v>168</v>
      </c>
      <c r="F259" s="126" t="s">
        <v>168</v>
      </c>
      <c r="G259" s="160" t="s">
        <v>310</v>
      </c>
      <c r="H259" s="128" t="s">
        <v>168</v>
      </c>
      <c r="I259" s="137" t="s">
        <v>182</v>
      </c>
      <c r="J259" s="130">
        <f t="shared" si="47"/>
        <v>1208888</v>
      </c>
      <c r="K259" s="131">
        <f t="shared" si="47"/>
        <v>0</v>
      </c>
      <c r="L259" s="131">
        <f t="shared" si="47"/>
        <v>1202312</v>
      </c>
      <c r="M259" s="132">
        <f t="shared" si="47"/>
        <v>1202312</v>
      </c>
      <c r="N259" s="133">
        <f t="shared" si="47"/>
        <v>1202312</v>
      </c>
      <c r="O259" s="113"/>
    </row>
    <row r="260" spans="1:15" ht="12.75">
      <c r="A260" s="260"/>
      <c r="B260" s="134" t="s">
        <v>30</v>
      </c>
      <c r="C260" s="144" t="s">
        <v>6</v>
      </c>
      <c r="D260" s="126" t="s">
        <v>168</v>
      </c>
      <c r="E260" s="126" t="s">
        <v>168</v>
      </c>
      <c r="F260" s="126" t="s">
        <v>168</v>
      </c>
      <c r="G260" s="160" t="s">
        <v>310</v>
      </c>
      <c r="H260" s="128" t="s">
        <v>168</v>
      </c>
      <c r="I260" s="137" t="s">
        <v>31</v>
      </c>
      <c r="J260" s="130">
        <f>604444+604444</f>
        <v>1208888</v>
      </c>
      <c r="K260" s="131">
        <v>0</v>
      </c>
      <c r="L260" s="138">
        <f>601156+601156</f>
        <v>1202312</v>
      </c>
      <c r="M260" s="139">
        <f>601156+601156</f>
        <v>1202312</v>
      </c>
      <c r="N260" s="140">
        <f>601156+601156</f>
        <v>1202312</v>
      </c>
      <c r="O260" s="113"/>
    </row>
    <row r="261" spans="1:15" ht="51">
      <c r="A261" s="260"/>
      <c r="B261" s="220" t="s">
        <v>196</v>
      </c>
      <c r="C261" s="144" t="s">
        <v>6</v>
      </c>
      <c r="D261" s="126" t="s">
        <v>168</v>
      </c>
      <c r="E261" s="126" t="s">
        <v>168</v>
      </c>
      <c r="F261" s="126" t="s">
        <v>168</v>
      </c>
      <c r="G261" s="160" t="s">
        <v>205</v>
      </c>
      <c r="H261" s="128" t="s">
        <v>168</v>
      </c>
      <c r="I261" s="137"/>
      <c r="J261" s="130">
        <f aca="true" t="shared" si="48" ref="J261:N262">J262</f>
        <v>297000</v>
      </c>
      <c r="K261" s="131">
        <f t="shared" si="48"/>
        <v>0</v>
      </c>
      <c r="L261" s="131">
        <f t="shared" si="48"/>
        <v>363520</v>
      </c>
      <c r="M261" s="132">
        <f t="shared" si="48"/>
        <v>378120</v>
      </c>
      <c r="N261" s="133">
        <f t="shared" si="48"/>
        <v>393240</v>
      </c>
      <c r="O261" s="113"/>
    </row>
    <row r="262" spans="1:15" ht="25.5">
      <c r="A262" s="260"/>
      <c r="B262" s="134" t="s">
        <v>29</v>
      </c>
      <c r="C262" s="144" t="s">
        <v>6</v>
      </c>
      <c r="D262" s="126" t="s">
        <v>168</v>
      </c>
      <c r="E262" s="126" t="s">
        <v>168</v>
      </c>
      <c r="F262" s="126" t="s">
        <v>168</v>
      </c>
      <c r="G262" s="160" t="s">
        <v>205</v>
      </c>
      <c r="H262" s="128" t="s">
        <v>168</v>
      </c>
      <c r="I262" s="137" t="s">
        <v>182</v>
      </c>
      <c r="J262" s="130">
        <f t="shared" si="48"/>
        <v>297000</v>
      </c>
      <c r="K262" s="131">
        <f t="shared" si="48"/>
        <v>0</v>
      </c>
      <c r="L262" s="131">
        <f t="shared" si="48"/>
        <v>363520</v>
      </c>
      <c r="M262" s="132">
        <f t="shared" si="48"/>
        <v>378120</v>
      </c>
      <c r="N262" s="133">
        <f t="shared" si="48"/>
        <v>393240</v>
      </c>
      <c r="O262" s="113"/>
    </row>
    <row r="263" spans="1:15" ht="12.75">
      <c r="A263" s="260"/>
      <c r="B263" s="225" t="s">
        <v>30</v>
      </c>
      <c r="C263" s="261" t="s">
        <v>6</v>
      </c>
      <c r="D263" s="204" t="s">
        <v>168</v>
      </c>
      <c r="E263" s="204" t="s">
        <v>168</v>
      </c>
      <c r="F263" s="204" t="s">
        <v>168</v>
      </c>
      <c r="G263" s="275" t="s">
        <v>205</v>
      </c>
      <c r="H263" s="229" t="s">
        <v>168</v>
      </c>
      <c r="I263" s="264" t="s">
        <v>31</v>
      </c>
      <c r="J263" s="238">
        <f>148500+148500</f>
        <v>297000</v>
      </c>
      <c r="K263" s="207">
        <v>0</v>
      </c>
      <c r="L263" s="280">
        <f>181760+181760</f>
        <v>363520</v>
      </c>
      <c r="M263" s="281">
        <f>189060+189060</f>
        <v>378120</v>
      </c>
      <c r="N263" s="282">
        <f>196620+196620</f>
        <v>393240</v>
      </c>
      <c r="O263" s="113"/>
    </row>
    <row r="264" spans="1:15" ht="62.25" customHeight="1">
      <c r="A264" s="260"/>
      <c r="B264" s="173" t="s">
        <v>384</v>
      </c>
      <c r="C264" s="299" t="s">
        <v>194</v>
      </c>
      <c r="D264" s="300" t="s">
        <v>168</v>
      </c>
      <c r="E264" s="192" t="s">
        <v>168</v>
      </c>
      <c r="F264" s="192" t="s">
        <v>168</v>
      </c>
      <c r="G264" s="300" t="s">
        <v>169</v>
      </c>
      <c r="H264" s="176" t="s">
        <v>168</v>
      </c>
      <c r="I264" s="301"/>
      <c r="J264" s="193" t="e">
        <f>J265+J270+J273+#REF!+#REF!</f>
        <v>#REF!</v>
      </c>
      <c r="K264" s="194" t="e">
        <f>K265+K270+K273+#REF!+#REF!</f>
        <v>#REF!</v>
      </c>
      <c r="L264" s="194">
        <f>L265+L270+L273</f>
        <v>3510121.28</v>
      </c>
      <c r="M264" s="195">
        <f>M265+M270+M273</f>
        <v>4956810.9</v>
      </c>
      <c r="N264" s="196">
        <f>N265+N270+N273</f>
        <v>5062013.609999999</v>
      </c>
      <c r="O264" s="113"/>
    </row>
    <row r="265" spans="1:15" ht="30.75" customHeight="1">
      <c r="A265" s="260"/>
      <c r="B265" s="123" t="s">
        <v>67</v>
      </c>
      <c r="C265" s="144" t="s">
        <v>194</v>
      </c>
      <c r="D265" s="136" t="s">
        <v>168</v>
      </c>
      <c r="E265" s="136" t="s">
        <v>168</v>
      </c>
      <c r="F265" s="136" t="s">
        <v>168</v>
      </c>
      <c r="G265" s="136" t="s">
        <v>24</v>
      </c>
      <c r="H265" s="128" t="s">
        <v>168</v>
      </c>
      <c r="I265" s="137"/>
      <c r="J265" s="130">
        <f>J266+J268</f>
        <v>6990162.16</v>
      </c>
      <c r="K265" s="131">
        <f>K266+K268</f>
        <v>-4736052.88</v>
      </c>
      <c r="L265" s="131">
        <f>L266+L268</f>
        <v>2510121.28</v>
      </c>
      <c r="M265" s="132">
        <f>M266+M268</f>
        <v>3361810.9</v>
      </c>
      <c r="N265" s="133">
        <f>N266+N268</f>
        <v>3467013.61</v>
      </c>
      <c r="O265" s="113"/>
    </row>
    <row r="266" spans="1:15" ht="25.5">
      <c r="A266" s="260"/>
      <c r="B266" s="134" t="s">
        <v>73</v>
      </c>
      <c r="C266" s="144" t="s">
        <v>194</v>
      </c>
      <c r="D266" s="136" t="s">
        <v>168</v>
      </c>
      <c r="E266" s="136" t="s">
        <v>168</v>
      </c>
      <c r="F266" s="136" t="s">
        <v>168</v>
      </c>
      <c r="G266" s="136" t="s">
        <v>24</v>
      </c>
      <c r="H266" s="128" t="s">
        <v>168</v>
      </c>
      <c r="I266" s="137">
        <v>200</v>
      </c>
      <c r="J266" s="130">
        <f>J267</f>
        <v>6920162.16</v>
      </c>
      <c r="K266" s="131">
        <f>K267</f>
        <v>-4736052.88</v>
      </c>
      <c r="L266" s="131">
        <f>L267</f>
        <v>2440121.28</v>
      </c>
      <c r="M266" s="132">
        <f>M267</f>
        <v>3291810.9</v>
      </c>
      <c r="N266" s="133">
        <f>N267</f>
        <v>3397013.61</v>
      </c>
      <c r="O266" s="113"/>
    </row>
    <row r="267" spans="1:15" ht="25.5">
      <c r="A267" s="260"/>
      <c r="B267" s="134" t="s">
        <v>75</v>
      </c>
      <c r="C267" s="144" t="s">
        <v>194</v>
      </c>
      <c r="D267" s="136" t="s">
        <v>168</v>
      </c>
      <c r="E267" s="136" t="s">
        <v>168</v>
      </c>
      <c r="F267" s="136" t="s">
        <v>168</v>
      </c>
      <c r="G267" s="136" t="s">
        <v>24</v>
      </c>
      <c r="H267" s="128" t="s">
        <v>168</v>
      </c>
      <c r="I267" s="137">
        <v>240</v>
      </c>
      <c r="J267" s="130">
        <v>6920162.16</v>
      </c>
      <c r="K267" s="131">
        <v>-4736052.88</v>
      </c>
      <c r="L267" s="138">
        <f>2320121.28+120000</f>
        <v>2440121.28</v>
      </c>
      <c r="M267" s="139">
        <f>3291810.9</f>
        <v>3291810.9</v>
      </c>
      <c r="N267" s="140">
        <v>3397013.61</v>
      </c>
      <c r="O267" s="113"/>
    </row>
    <row r="268" spans="1:15" ht="12.75">
      <c r="A268" s="260"/>
      <c r="B268" s="134" t="s">
        <v>83</v>
      </c>
      <c r="C268" s="144" t="s">
        <v>194</v>
      </c>
      <c r="D268" s="136" t="s">
        <v>168</v>
      </c>
      <c r="E268" s="136" t="s">
        <v>168</v>
      </c>
      <c r="F268" s="136" t="s">
        <v>168</v>
      </c>
      <c r="G268" s="136" t="s">
        <v>24</v>
      </c>
      <c r="H268" s="128" t="s">
        <v>168</v>
      </c>
      <c r="I268" s="137" t="s">
        <v>84</v>
      </c>
      <c r="J268" s="130">
        <f>J269</f>
        <v>70000</v>
      </c>
      <c r="K268" s="131">
        <f>K269</f>
        <v>0</v>
      </c>
      <c r="L268" s="131">
        <f>L269</f>
        <v>70000</v>
      </c>
      <c r="M268" s="132">
        <f>M269</f>
        <v>70000</v>
      </c>
      <c r="N268" s="133">
        <f>N269</f>
        <v>70000</v>
      </c>
      <c r="O268" s="113"/>
    </row>
    <row r="269" spans="1:15" ht="12.75">
      <c r="A269" s="260"/>
      <c r="B269" s="134" t="s">
        <v>85</v>
      </c>
      <c r="C269" s="144" t="s">
        <v>194</v>
      </c>
      <c r="D269" s="136" t="s">
        <v>168</v>
      </c>
      <c r="E269" s="136" t="s">
        <v>168</v>
      </c>
      <c r="F269" s="136" t="s">
        <v>168</v>
      </c>
      <c r="G269" s="136" t="s">
        <v>24</v>
      </c>
      <c r="H269" s="128" t="s">
        <v>168</v>
      </c>
      <c r="I269" s="137" t="s">
        <v>86</v>
      </c>
      <c r="J269" s="130">
        <v>70000</v>
      </c>
      <c r="K269" s="131">
        <v>0</v>
      </c>
      <c r="L269" s="131">
        <v>70000</v>
      </c>
      <c r="M269" s="132">
        <v>70000</v>
      </c>
      <c r="N269" s="133">
        <v>70000</v>
      </c>
      <c r="O269" s="113"/>
    </row>
    <row r="270" spans="1:15" ht="19.5" customHeight="1">
      <c r="A270" s="260"/>
      <c r="B270" s="134" t="s">
        <v>122</v>
      </c>
      <c r="C270" s="124" t="s">
        <v>194</v>
      </c>
      <c r="D270" s="126" t="s">
        <v>168</v>
      </c>
      <c r="E270" s="136" t="s">
        <v>168</v>
      </c>
      <c r="F270" s="136" t="s">
        <v>168</v>
      </c>
      <c r="G270" s="126" t="s">
        <v>174</v>
      </c>
      <c r="H270" s="128" t="s">
        <v>168</v>
      </c>
      <c r="I270" s="137"/>
      <c r="J270" s="130">
        <f aca="true" t="shared" si="49" ref="J270:N271">J271</f>
        <v>595000</v>
      </c>
      <c r="K270" s="131">
        <f t="shared" si="49"/>
        <v>-95000</v>
      </c>
      <c r="L270" s="131">
        <f t="shared" si="49"/>
        <v>500000</v>
      </c>
      <c r="M270" s="132">
        <f t="shared" si="49"/>
        <v>1095000</v>
      </c>
      <c r="N270" s="133">
        <f t="shared" si="49"/>
        <v>1095000</v>
      </c>
      <c r="O270" s="113"/>
    </row>
    <row r="271" spans="1:15" ht="25.5">
      <c r="A271" s="260"/>
      <c r="B271" s="134" t="s">
        <v>73</v>
      </c>
      <c r="C271" s="124" t="s">
        <v>194</v>
      </c>
      <c r="D271" s="126" t="s">
        <v>168</v>
      </c>
      <c r="E271" s="136" t="s">
        <v>168</v>
      </c>
      <c r="F271" s="136" t="s">
        <v>168</v>
      </c>
      <c r="G271" s="126" t="s">
        <v>174</v>
      </c>
      <c r="H271" s="128" t="s">
        <v>168</v>
      </c>
      <c r="I271" s="137" t="s">
        <v>74</v>
      </c>
      <c r="J271" s="130">
        <f t="shared" si="49"/>
        <v>595000</v>
      </c>
      <c r="K271" s="131">
        <f t="shared" si="49"/>
        <v>-95000</v>
      </c>
      <c r="L271" s="131">
        <f t="shared" si="49"/>
        <v>500000</v>
      </c>
      <c r="M271" s="132">
        <f t="shared" si="49"/>
        <v>1095000</v>
      </c>
      <c r="N271" s="133">
        <f t="shared" si="49"/>
        <v>1095000</v>
      </c>
      <c r="O271" s="113"/>
    </row>
    <row r="272" spans="1:15" ht="25.5">
      <c r="A272" s="260"/>
      <c r="B272" s="134" t="s">
        <v>75</v>
      </c>
      <c r="C272" s="124" t="s">
        <v>194</v>
      </c>
      <c r="D272" s="126" t="s">
        <v>168</v>
      </c>
      <c r="E272" s="136" t="s">
        <v>168</v>
      </c>
      <c r="F272" s="136" t="s">
        <v>168</v>
      </c>
      <c r="G272" s="126" t="s">
        <v>174</v>
      </c>
      <c r="H272" s="128" t="s">
        <v>168</v>
      </c>
      <c r="I272" s="137" t="s">
        <v>76</v>
      </c>
      <c r="J272" s="130">
        <v>595000</v>
      </c>
      <c r="K272" s="131">
        <v>-95000</v>
      </c>
      <c r="L272" s="138">
        <v>500000</v>
      </c>
      <c r="M272" s="139">
        <v>1095000</v>
      </c>
      <c r="N272" s="140">
        <v>1095000</v>
      </c>
      <c r="O272" s="113"/>
    </row>
    <row r="273" spans="1:15" ht="20.25" customHeight="1">
      <c r="A273" s="260"/>
      <c r="B273" s="197" t="s">
        <v>220</v>
      </c>
      <c r="C273" s="182" t="s">
        <v>194</v>
      </c>
      <c r="D273" s="125" t="s">
        <v>168</v>
      </c>
      <c r="E273" s="126" t="s">
        <v>168</v>
      </c>
      <c r="F273" s="126" t="s">
        <v>168</v>
      </c>
      <c r="G273" s="127" t="s">
        <v>208</v>
      </c>
      <c r="H273" s="128" t="s">
        <v>168</v>
      </c>
      <c r="I273" s="129"/>
      <c r="J273" s="130">
        <f aca="true" t="shared" si="50" ref="J273:N274">J274</f>
        <v>500000</v>
      </c>
      <c r="K273" s="131">
        <f t="shared" si="50"/>
        <v>0</v>
      </c>
      <c r="L273" s="131">
        <f t="shared" si="50"/>
        <v>500000</v>
      </c>
      <c r="M273" s="132">
        <f t="shared" si="50"/>
        <v>500000</v>
      </c>
      <c r="N273" s="133">
        <f t="shared" si="50"/>
        <v>500000</v>
      </c>
      <c r="O273" s="113"/>
    </row>
    <row r="274" spans="1:15" ht="25.5">
      <c r="A274" s="260"/>
      <c r="B274" s="134" t="s">
        <v>73</v>
      </c>
      <c r="C274" s="182" t="s">
        <v>194</v>
      </c>
      <c r="D274" s="125" t="s">
        <v>168</v>
      </c>
      <c r="E274" s="126" t="s">
        <v>168</v>
      </c>
      <c r="F274" s="126" t="s">
        <v>168</v>
      </c>
      <c r="G274" s="127" t="s">
        <v>208</v>
      </c>
      <c r="H274" s="128" t="s">
        <v>168</v>
      </c>
      <c r="I274" s="129" t="s">
        <v>74</v>
      </c>
      <c r="J274" s="130">
        <f t="shared" si="50"/>
        <v>500000</v>
      </c>
      <c r="K274" s="131">
        <f t="shared" si="50"/>
        <v>0</v>
      </c>
      <c r="L274" s="131">
        <f t="shared" si="50"/>
        <v>500000</v>
      </c>
      <c r="M274" s="132">
        <f t="shared" si="50"/>
        <v>500000</v>
      </c>
      <c r="N274" s="133">
        <f t="shared" si="50"/>
        <v>500000</v>
      </c>
      <c r="O274" s="113"/>
    </row>
    <row r="275" spans="1:15" ht="25.5">
      <c r="A275" s="260"/>
      <c r="B275" s="134" t="s">
        <v>75</v>
      </c>
      <c r="C275" s="182" t="s">
        <v>194</v>
      </c>
      <c r="D275" s="125" t="s">
        <v>168</v>
      </c>
      <c r="E275" s="126" t="s">
        <v>168</v>
      </c>
      <c r="F275" s="126" t="s">
        <v>168</v>
      </c>
      <c r="G275" s="127" t="s">
        <v>208</v>
      </c>
      <c r="H275" s="128" t="s">
        <v>168</v>
      </c>
      <c r="I275" s="129" t="s">
        <v>76</v>
      </c>
      <c r="J275" s="130">
        <v>500000</v>
      </c>
      <c r="K275" s="131">
        <v>0</v>
      </c>
      <c r="L275" s="131">
        <v>500000</v>
      </c>
      <c r="M275" s="132">
        <v>500000</v>
      </c>
      <c r="N275" s="133">
        <v>500000</v>
      </c>
      <c r="O275" s="113"/>
    </row>
    <row r="276" spans="1:15" ht="12.75">
      <c r="A276" s="260"/>
      <c r="B276" s="225"/>
      <c r="C276" s="261"/>
      <c r="D276" s="262"/>
      <c r="E276" s="204"/>
      <c r="F276" s="204"/>
      <c r="G276" s="262"/>
      <c r="H276" s="229"/>
      <c r="I276" s="264"/>
      <c r="J276" s="238"/>
      <c r="K276" s="207"/>
      <c r="L276" s="207"/>
      <c r="M276" s="208"/>
      <c r="N276" s="209"/>
      <c r="O276" s="113"/>
    </row>
    <row r="277" spans="1:15" ht="6" customHeight="1">
      <c r="A277" s="260"/>
      <c r="B277" s="210"/>
      <c r="C277" s="302"/>
      <c r="D277" s="303"/>
      <c r="E277" s="303"/>
      <c r="F277" s="303"/>
      <c r="G277" s="304"/>
      <c r="H277" s="305"/>
      <c r="I277" s="214"/>
      <c r="J277" s="268"/>
      <c r="K277" s="268"/>
      <c r="L277" s="268"/>
      <c r="M277" s="269"/>
      <c r="N277" s="270"/>
      <c r="O277" s="113"/>
    </row>
    <row r="278" spans="1:15" ht="54" customHeight="1">
      <c r="A278" s="260"/>
      <c r="B278" s="189" t="s">
        <v>326</v>
      </c>
      <c r="C278" s="258" t="s">
        <v>225</v>
      </c>
      <c r="D278" s="156" t="s">
        <v>168</v>
      </c>
      <c r="E278" s="156" t="s">
        <v>168</v>
      </c>
      <c r="F278" s="156" t="s">
        <v>168</v>
      </c>
      <c r="G278" s="156" t="s">
        <v>169</v>
      </c>
      <c r="H278" s="157" t="s">
        <v>168</v>
      </c>
      <c r="I278" s="297"/>
      <c r="J278" s="111">
        <f>J279</f>
        <v>958003</v>
      </c>
      <c r="K278" s="111">
        <f>K279</f>
        <v>0</v>
      </c>
      <c r="L278" s="111">
        <f>L279</f>
        <v>958027.4</v>
      </c>
      <c r="M278" s="112">
        <f>M279</f>
        <v>1081538.4</v>
      </c>
      <c r="N278" s="119">
        <f>N279</f>
        <v>0</v>
      </c>
      <c r="O278" s="113"/>
    </row>
    <row r="279" spans="1:15" ht="21" customHeight="1">
      <c r="A279" s="260"/>
      <c r="B279" s="134" t="s">
        <v>70</v>
      </c>
      <c r="C279" s="144" t="s">
        <v>225</v>
      </c>
      <c r="D279" s="136" t="s">
        <v>168</v>
      </c>
      <c r="E279" s="136" t="s">
        <v>168</v>
      </c>
      <c r="F279" s="136" t="s">
        <v>168</v>
      </c>
      <c r="G279" s="136" t="s">
        <v>26</v>
      </c>
      <c r="H279" s="128" t="s">
        <v>168</v>
      </c>
      <c r="I279" s="266"/>
      <c r="J279" s="131">
        <f>J280+J282+J284</f>
        <v>958003</v>
      </c>
      <c r="K279" s="131">
        <f>K280+K282+K284</f>
        <v>0</v>
      </c>
      <c r="L279" s="131">
        <f>L280+L282+L284</f>
        <v>958027.4</v>
      </c>
      <c r="M279" s="132">
        <f>M280+M282+M284</f>
        <v>1081538.4</v>
      </c>
      <c r="N279" s="133">
        <f>N280+N282+N284</f>
        <v>0</v>
      </c>
      <c r="O279" s="113"/>
    </row>
    <row r="280" spans="1:15" ht="57" customHeight="1">
      <c r="A280" s="260"/>
      <c r="B280" s="134" t="s">
        <v>92</v>
      </c>
      <c r="C280" s="124" t="s">
        <v>225</v>
      </c>
      <c r="D280" s="126" t="s">
        <v>168</v>
      </c>
      <c r="E280" s="126" t="s">
        <v>168</v>
      </c>
      <c r="F280" s="126" t="s">
        <v>168</v>
      </c>
      <c r="G280" s="126" t="s">
        <v>26</v>
      </c>
      <c r="H280" s="128" t="s">
        <v>168</v>
      </c>
      <c r="I280" s="266" t="s">
        <v>81</v>
      </c>
      <c r="J280" s="131">
        <f>J281</f>
        <v>263500</v>
      </c>
      <c r="K280" s="131">
        <f>K281</f>
        <v>0</v>
      </c>
      <c r="L280" s="131">
        <f>L281</f>
        <v>381900</v>
      </c>
      <c r="M280" s="132">
        <f>M281</f>
        <v>407800</v>
      </c>
      <c r="N280" s="133">
        <f>N281</f>
        <v>0</v>
      </c>
      <c r="O280" s="113"/>
    </row>
    <row r="281" spans="1:15" ht="25.5" customHeight="1">
      <c r="A281" s="260"/>
      <c r="B281" s="134" t="s">
        <v>82</v>
      </c>
      <c r="C281" s="124" t="s">
        <v>225</v>
      </c>
      <c r="D281" s="126" t="s">
        <v>168</v>
      </c>
      <c r="E281" s="126" t="s">
        <v>168</v>
      </c>
      <c r="F281" s="126" t="s">
        <v>168</v>
      </c>
      <c r="G281" s="126" t="s">
        <v>26</v>
      </c>
      <c r="H281" s="128" t="s">
        <v>168</v>
      </c>
      <c r="I281" s="266" t="s">
        <v>212</v>
      </c>
      <c r="J281" s="131">
        <v>263500</v>
      </c>
      <c r="K281" s="131">
        <v>0</v>
      </c>
      <c r="L281" s="138">
        <v>381900</v>
      </c>
      <c r="M281" s="139">
        <v>407800</v>
      </c>
      <c r="N281" s="133"/>
      <c r="O281" s="113"/>
    </row>
    <row r="282" spans="1:15" ht="33.75" customHeight="1">
      <c r="A282" s="260"/>
      <c r="B282" s="134" t="s">
        <v>73</v>
      </c>
      <c r="C282" s="144" t="s">
        <v>225</v>
      </c>
      <c r="D282" s="136" t="s">
        <v>168</v>
      </c>
      <c r="E282" s="136" t="s">
        <v>168</v>
      </c>
      <c r="F282" s="136" t="s">
        <v>168</v>
      </c>
      <c r="G282" s="136" t="s">
        <v>26</v>
      </c>
      <c r="H282" s="128" t="s">
        <v>168</v>
      </c>
      <c r="I282" s="266" t="s">
        <v>74</v>
      </c>
      <c r="J282" s="131">
        <f>J283</f>
        <v>640872</v>
      </c>
      <c r="K282" s="131">
        <f>K283</f>
        <v>0</v>
      </c>
      <c r="L282" s="131">
        <f>L283</f>
        <v>554097.4</v>
      </c>
      <c r="M282" s="132">
        <f>M283</f>
        <v>651708.4</v>
      </c>
      <c r="N282" s="133">
        <f>N283</f>
        <v>0</v>
      </c>
      <c r="O282" s="113"/>
    </row>
    <row r="283" spans="1:15" ht="27" customHeight="1">
      <c r="A283" s="260"/>
      <c r="B283" s="134" t="s">
        <v>75</v>
      </c>
      <c r="C283" s="144" t="s">
        <v>225</v>
      </c>
      <c r="D283" s="136" t="s">
        <v>168</v>
      </c>
      <c r="E283" s="136" t="s">
        <v>168</v>
      </c>
      <c r="F283" s="136" t="s">
        <v>168</v>
      </c>
      <c r="G283" s="136" t="s">
        <v>26</v>
      </c>
      <c r="H283" s="128" t="s">
        <v>168</v>
      </c>
      <c r="I283" s="266" t="s">
        <v>76</v>
      </c>
      <c r="J283" s="131">
        <v>640872</v>
      </c>
      <c r="K283" s="131">
        <v>0</v>
      </c>
      <c r="L283" s="131">
        <v>554097.4</v>
      </c>
      <c r="M283" s="132">
        <v>651708.4</v>
      </c>
      <c r="N283" s="133"/>
      <c r="O283" s="113"/>
    </row>
    <row r="284" spans="1:15" ht="20.25" customHeight="1">
      <c r="A284" s="260"/>
      <c r="B284" s="134" t="s">
        <v>83</v>
      </c>
      <c r="C284" s="124" t="s">
        <v>225</v>
      </c>
      <c r="D284" s="126" t="s">
        <v>168</v>
      </c>
      <c r="E284" s="136" t="s">
        <v>168</v>
      </c>
      <c r="F284" s="136" t="s">
        <v>168</v>
      </c>
      <c r="G284" s="126" t="s">
        <v>26</v>
      </c>
      <c r="H284" s="128" t="s">
        <v>168</v>
      </c>
      <c r="I284" s="266" t="s">
        <v>84</v>
      </c>
      <c r="J284" s="131">
        <f>J285</f>
        <v>53631</v>
      </c>
      <c r="K284" s="131">
        <f>K285</f>
        <v>0</v>
      </c>
      <c r="L284" s="131">
        <f>L285</f>
        <v>22030</v>
      </c>
      <c r="M284" s="132">
        <f>M285</f>
        <v>22030</v>
      </c>
      <c r="N284" s="133">
        <f>N285</f>
        <v>0</v>
      </c>
      <c r="O284" s="113"/>
    </row>
    <row r="285" spans="1:15" ht="20.25" customHeight="1">
      <c r="A285" s="260"/>
      <c r="B285" s="134" t="s">
        <v>85</v>
      </c>
      <c r="C285" s="124" t="s">
        <v>225</v>
      </c>
      <c r="D285" s="126" t="s">
        <v>168</v>
      </c>
      <c r="E285" s="136" t="s">
        <v>168</v>
      </c>
      <c r="F285" s="136" t="s">
        <v>168</v>
      </c>
      <c r="G285" s="126" t="s">
        <v>26</v>
      </c>
      <c r="H285" s="128" t="s">
        <v>168</v>
      </c>
      <c r="I285" s="266" t="s">
        <v>86</v>
      </c>
      <c r="J285" s="131">
        <v>53631</v>
      </c>
      <c r="K285" s="131">
        <v>0</v>
      </c>
      <c r="L285" s="131">
        <v>22030</v>
      </c>
      <c r="M285" s="132">
        <v>22030</v>
      </c>
      <c r="N285" s="133"/>
      <c r="O285" s="113"/>
    </row>
    <row r="286" spans="1:16" ht="15" customHeight="1">
      <c r="A286" s="260"/>
      <c r="B286" s="225"/>
      <c r="C286" s="124"/>
      <c r="D286" s="126"/>
      <c r="E286" s="126"/>
      <c r="F286" s="126"/>
      <c r="G286" s="126"/>
      <c r="H286" s="128"/>
      <c r="I286" s="266"/>
      <c r="J286" s="131"/>
      <c r="K286" s="131"/>
      <c r="L286" s="131"/>
      <c r="M286" s="132"/>
      <c r="N286" s="133"/>
      <c r="O286" s="113"/>
      <c r="P286" s="113"/>
    </row>
    <row r="287" spans="1:15" ht="51.75" customHeight="1">
      <c r="A287" s="260"/>
      <c r="B287" s="306" t="s">
        <v>378</v>
      </c>
      <c r="C287" s="265" t="s">
        <v>241</v>
      </c>
      <c r="D287" s="192" t="s">
        <v>168</v>
      </c>
      <c r="E287" s="192" t="s">
        <v>168</v>
      </c>
      <c r="F287" s="192" t="s">
        <v>168</v>
      </c>
      <c r="G287" s="192" t="s">
        <v>169</v>
      </c>
      <c r="H287" s="175" t="s">
        <v>168</v>
      </c>
      <c r="I287" s="307"/>
      <c r="J287" s="193" t="e">
        <f>J288+J291+#REF!</f>
        <v>#REF!</v>
      </c>
      <c r="K287" s="194" t="e">
        <f>K288+K291+#REF!</f>
        <v>#REF!</v>
      </c>
      <c r="L287" s="194">
        <f>L288+L291+L296</f>
        <v>4209608.34</v>
      </c>
      <c r="M287" s="195">
        <f>M288+M291+M296</f>
        <v>2714276.67</v>
      </c>
      <c r="N287" s="196">
        <f>N288+N291+N296</f>
        <v>2714276.67</v>
      </c>
      <c r="O287" s="113"/>
    </row>
    <row r="288" spans="1:15" ht="30" customHeight="1">
      <c r="A288" s="260"/>
      <c r="B288" s="134" t="s">
        <v>16</v>
      </c>
      <c r="C288" s="144" t="s">
        <v>241</v>
      </c>
      <c r="D288" s="136" t="s">
        <v>168</v>
      </c>
      <c r="E288" s="136" t="s">
        <v>168</v>
      </c>
      <c r="F288" s="136" t="s">
        <v>168</v>
      </c>
      <c r="G288" s="136" t="s">
        <v>45</v>
      </c>
      <c r="H288" s="126" t="s">
        <v>168</v>
      </c>
      <c r="I288" s="137"/>
      <c r="J288" s="130">
        <f aca="true" t="shared" si="51" ref="J288:N289">J289</f>
        <v>35000</v>
      </c>
      <c r="K288" s="131">
        <f t="shared" si="51"/>
        <v>0</v>
      </c>
      <c r="L288" s="131">
        <f t="shared" si="51"/>
        <v>35000</v>
      </c>
      <c r="M288" s="132">
        <f t="shared" si="51"/>
        <v>35000</v>
      </c>
      <c r="N288" s="133">
        <f t="shared" si="51"/>
        <v>35000</v>
      </c>
      <c r="O288" s="113"/>
    </row>
    <row r="289" spans="1:15" ht="30" customHeight="1">
      <c r="A289" s="260"/>
      <c r="B289" s="134" t="s">
        <v>73</v>
      </c>
      <c r="C289" s="124" t="s">
        <v>241</v>
      </c>
      <c r="D289" s="126" t="s">
        <v>168</v>
      </c>
      <c r="E289" s="126" t="s">
        <v>168</v>
      </c>
      <c r="F289" s="126" t="s">
        <v>168</v>
      </c>
      <c r="G289" s="126" t="s">
        <v>45</v>
      </c>
      <c r="H289" s="126" t="s">
        <v>168</v>
      </c>
      <c r="I289" s="137">
        <v>200</v>
      </c>
      <c r="J289" s="130">
        <f t="shared" si="51"/>
        <v>35000</v>
      </c>
      <c r="K289" s="131">
        <f t="shared" si="51"/>
        <v>0</v>
      </c>
      <c r="L289" s="131">
        <f t="shared" si="51"/>
        <v>35000</v>
      </c>
      <c r="M289" s="132">
        <f t="shared" si="51"/>
        <v>35000</v>
      </c>
      <c r="N289" s="133">
        <f t="shared" si="51"/>
        <v>35000</v>
      </c>
      <c r="O289" s="113"/>
    </row>
    <row r="290" spans="1:15" ht="26.25" customHeight="1">
      <c r="A290" s="260"/>
      <c r="B290" s="134" t="s">
        <v>75</v>
      </c>
      <c r="C290" s="124" t="s">
        <v>241</v>
      </c>
      <c r="D290" s="126" t="s">
        <v>168</v>
      </c>
      <c r="E290" s="126" t="s">
        <v>168</v>
      </c>
      <c r="F290" s="126" t="s">
        <v>168</v>
      </c>
      <c r="G290" s="126" t="s">
        <v>45</v>
      </c>
      <c r="H290" s="126" t="s">
        <v>168</v>
      </c>
      <c r="I290" s="137">
        <v>240</v>
      </c>
      <c r="J290" s="130">
        <v>35000</v>
      </c>
      <c r="K290" s="131">
        <v>0</v>
      </c>
      <c r="L290" s="131">
        <v>35000</v>
      </c>
      <c r="M290" s="132">
        <v>35000</v>
      </c>
      <c r="N290" s="133">
        <v>35000</v>
      </c>
      <c r="O290" s="113"/>
    </row>
    <row r="291" spans="1:15" ht="16.5" customHeight="1">
      <c r="A291" s="260"/>
      <c r="B291" s="197" t="s">
        <v>244</v>
      </c>
      <c r="C291" s="158" t="s">
        <v>241</v>
      </c>
      <c r="D291" s="159" t="s">
        <v>168</v>
      </c>
      <c r="E291" s="126" t="s">
        <v>168</v>
      </c>
      <c r="F291" s="126" t="s">
        <v>168</v>
      </c>
      <c r="G291" s="159" t="s">
        <v>210</v>
      </c>
      <c r="H291" s="126" t="s">
        <v>168</v>
      </c>
      <c r="I291" s="201"/>
      <c r="J291" s="130">
        <f>J294</f>
        <v>2073576.66</v>
      </c>
      <c r="K291" s="131">
        <f>K294</f>
        <v>0</v>
      </c>
      <c r="L291" s="131">
        <f>L294+L292</f>
        <v>1174608.3399999999</v>
      </c>
      <c r="M291" s="132">
        <f>M294+M292</f>
        <v>2073576.67</v>
      </c>
      <c r="N291" s="133">
        <f>N294+N292</f>
        <v>2073576.67</v>
      </c>
      <c r="O291" s="113"/>
    </row>
    <row r="292" spans="1:15" ht="38.25" customHeight="1">
      <c r="A292" s="260"/>
      <c r="B292" s="197" t="s">
        <v>29</v>
      </c>
      <c r="C292" s="158" t="s">
        <v>241</v>
      </c>
      <c r="D292" s="159" t="s">
        <v>168</v>
      </c>
      <c r="E292" s="126" t="s">
        <v>168</v>
      </c>
      <c r="F292" s="126" t="s">
        <v>168</v>
      </c>
      <c r="G292" s="159" t="s">
        <v>210</v>
      </c>
      <c r="H292" s="126" t="s">
        <v>168</v>
      </c>
      <c r="I292" s="201" t="s">
        <v>182</v>
      </c>
      <c r="J292" s="130"/>
      <c r="K292" s="131"/>
      <c r="L292" s="149">
        <f>L293</f>
        <v>666308.34</v>
      </c>
      <c r="M292" s="150">
        <f>M293</f>
        <v>1176276.67</v>
      </c>
      <c r="N292" s="151">
        <f>N293</f>
        <v>1176276.67</v>
      </c>
      <c r="O292" s="113"/>
    </row>
    <row r="293" spans="1:15" ht="48" customHeight="1">
      <c r="A293" s="260"/>
      <c r="B293" s="197" t="s">
        <v>265</v>
      </c>
      <c r="C293" s="158" t="s">
        <v>241</v>
      </c>
      <c r="D293" s="159" t="s">
        <v>168</v>
      </c>
      <c r="E293" s="126" t="s">
        <v>168</v>
      </c>
      <c r="F293" s="126" t="s">
        <v>168</v>
      </c>
      <c r="G293" s="159" t="s">
        <v>210</v>
      </c>
      <c r="H293" s="126" t="s">
        <v>168</v>
      </c>
      <c r="I293" s="201" t="s">
        <v>193</v>
      </c>
      <c r="J293" s="130"/>
      <c r="K293" s="131"/>
      <c r="L293" s="149">
        <v>666308.34</v>
      </c>
      <c r="M293" s="150">
        <v>1176276.67</v>
      </c>
      <c r="N293" s="151">
        <v>1176276.67</v>
      </c>
      <c r="O293" s="113"/>
    </row>
    <row r="294" spans="1:15" ht="16.5" customHeight="1">
      <c r="A294" s="260"/>
      <c r="B294" s="134" t="s">
        <v>83</v>
      </c>
      <c r="C294" s="158" t="s">
        <v>241</v>
      </c>
      <c r="D294" s="159" t="s">
        <v>168</v>
      </c>
      <c r="E294" s="126" t="s">
        <v>168</v>
      </c>
      <c r="F294" s="126" t="s">
        <v>168</v>
      </c>
      <c r="G294" s="159" t="s">
        <v>210</v>
      </c>
      <c r="H294" s="126" t="s">
        <v>168</v>
      </c>
      <c r="I294" s="201" t="s">
        <v>84</v>
      </c>
      <c r="J294" s="130">
        <f>J295</f>
        <v>2073576.66</v>
      </c>
      <c r="K294" s="131">
        <f>K295</f>
        <v>0</v>
      </c>
      <c r="L294" s="149">
        <f>L295</f>
        <v>508300</v>
      </c>
      <c r="M294" s="150">
        <f>M295</f>
        <v>897300</v>
      </c>
      <c r="N294" s="151">
        <f>N295</f>
        <v>897300</v>
      </c>
      <c r="O294" s="113"/>
    </row>
    <row r="295" spans="1:15" ht="45" customHeight="1">
      <c r="A295" s="260"/>
      <c r="B295" s="134" t="s">
        <v>209</v>
      </c>
      <c r="C295" s="158" t="s">
        <v>241</v>
      </c>
      <c r="D295" s="159" t="s">
        <v>168</v>
      </c>
      <c r="E295" s="126" t="s">
        <v>168</v>
      </c>
      <c r="F295" s="126" t="s">
        <v>168</v>
      </c>
      <c r="G295" s="159" t="s">
        <v>210</v>
      </c>
      <c r="H295" s="126" t="s">
        <v>168</v>
      </c>
      <c r="I295" s="201" t="s">
        <v>173</v>
      </c>
      <c r="J295" s="130">
        <v>2073576.66</v>
      </c>
      <c r="K295" s="130">
        <v>0</v>
      </c>
      <c r="L295" s="149">
        <v>508300</v>
      </c>
      <c r="M295" s="150">
        <v>897300</v>
      </c>
      <c r="N295" s="151">
        <v>897300</v>
      </c>
      <c r="O295" s="113"/>
    </row>
    <row r="296" spans="1:15" ht="45" customHeight="1">
      <c r="A296" s="136"/>
      <c r="B296" s="197" t="s">
        <v>63</v>
      </c>
      <c r="C296" s="144" t="s">
        <v>241</v>
      </c>
      <c r="D296" s="136" t="s">
        <v>168</v>
      </c>
      <c r="E296" s="136" t="s">
        <v>168</v>
      </c>
      <c r="F296" s="136" t="s">
        <v>168</v>
      </c>
      <c r="G296" s="256" t="s">
        <v>362</v>
      </c>
      <c r="H296" s="126" t="s">
        <v>168</v>
      </c>
      <c r="I296" s="259"/>
      <c r="J296" s="130">
        <f aca="true" t="shared" si="52" ref="J296:N297">J297</f>
        <v>605700</v>
      </c>
      <c r="K296" s="131">
        <f t="shared" si="52"/>
        <v>0</v>
      </c>
      <c r="L296" s="131">
        <f t="shared" si="52"/>
        <v>3000000</v>
      </c>
      <c r="M296" s="132">
        <f t="shared" si="52"/>
        <v>605700</v>
      </c>
      <c r="N296" s="133">
        <f t="shared" si="52"/>
        <v>605700</v>
      </c>
      <c r="O296" s="113"/>
    </row>
    <row r="297" spans="1:15" ht="21.75" customHeight="1">
      <c r="A297" s="136"/>
      <c r="B297" s="134" t="s">
        <v>83</v>
      </c>
      <c r="C297" s="144" t="s">
        <v>241</v>
      </c>
      <c r="D297" s="136" t="s">
        <v>168</v>
      </c>
      <c r="E297" s="136" t="s">
        <v>168</v>
      </c>
      <c r="F297" s="136" t="s">
        <v>168</v>
      </c>
      <c r="G297" s="256" t="s">
        <v>362</v>
      </c>
      <c r="H297" s="126" t="s">
        <v>168</v>
      </c>
      <c r="I297" s="129" t="s">
        <v>84</v>
      </c>
      <c r="J297" s="130">
        <f t="shared" si="52"/>
        <v>605700</v>
      </c>
      <c r="K297" s="131">
        <f t="shared" si="52"/>
        <v>0</v>
      </c>
      <c r="L297" s="131">
        <f t="shared" si="52"/>
        <v>3000000</v>
      </c>
      <c r="M297" s="132">
        <f t="shared" si="52"/>
        <v>605700</v>
      </c>
      <c r="N297" s="133">
        <f t="shared" si="52"/>
        <v>605700</v>
      </c>
      <c r="O297" s="113"/>
    </row>
    <row r="298" spans="1:15" ht="45" customHeight="1">
      <c r="A298" s="136"/>
      <c r="B298" s="225" t="s">
        <v>209</v>
      </c>
      <c r="C298" s="261" t="s">
        <v>241</v>
      </c>
      <c r="D298" s="262" t="s">
        <v>168</v>
      </c>
      <c r="E298" s="262" t="s">
        <v>168</v>
      </c>
      <c r="F298" s="262" t="s">
        <v>168</v>
      </c>
      <c r="G298" s="166" t="s">
        <v>362</v>
      </c>
      <c r="H298" s="204" t="s">
        <v>168</v>
      </c>
      <c r="I298" s="230" t="s">
        <v>173</v>
      </c>
      <c r="J298" s="238">
        <v>605700</v>
      </c>
      <c r="K298" s="207">
        <v>0</v>
      </c>
      <c r="L298" s="308">
        <f>2850000+150000</f>
        <v>3000000</v>
      </c>
      <c r="M298" s="309">
        <v>605700</v>
      </c>
      <c r="N298" s="310">
        <v>605700</v>
      </c>
      <c r="O298" s="113"/>
    </row>
    <row r="299" spans="1:15" ht="4.5" customHeight="1">
      <c r="A299" s="136"/>
      <c r="B299" s="134"/>
      <c r="C299" s="158"/>
      <c r="D299" s="159"/>
      <c r="E299" s="126"/>
      <c r="F299" s="126"/>
      <c r="G299" s="159"/>
      <c r="H299" s="128"/>
      <c r="I299" s="244"/>
      <c r="J299" s="131"/>
      <c r="K299" s="131"/>
      <c r="L299" s="268"/>
      <c r="M299" s="269"/>
      <c r="N299" s="270"/>
      <c r="O299" s="113"/>
    </row>
    <row r="300" spans="1:15" ht="93" customHeight="1">
      <c r="A300" s="136"/>
      <c r="B300" s="311" t="s">
        <v>325</v>
      </c>
      <c r="C300" s="312" t="s">
        <v>328</v>
      </c>
      <c r="D300" s="163" t="s">
        <v>168</v>
      </c>
      <c r="E300" s="163" t="s">
        <v>168</v>
      </c>
      <c r="F300" s="163" t="s">
        <v>168</v>
      </c>
      <c r="G300" s="163" t="s">
        <v>169</v>
      </c>
      <c r="H300" s="157" t="s">
        <v>168</v>
      </c>
      <c r="I300" s="266"/>
      <c r="J300" s="131">
        <f>J301</f>
        <v>1524300</v>
      </c>
      <c r="K300" s="131">
        <f>K301</f>
        <v>0</v>
      </c>
      <c r="L300" s="111">
        <f>L301</f>
        <v>1000500</v>
      </c>
      <c r="M300" s="112">
        <f>M301</f>
        <v>1974600</v>
      </c>
      <c r="N300" s="119">
        <f>N301</f>
        <v>1652400</v>
      </c>
      <c r="O300" s="113"/>
    </row>
    <row r="301" spans="1:15" ht="33.75" customHeight="1">
      <c r="A301" s="136"/>
      <c r="B301" s="134" t="s">
        <v>333</v>
      </c>
      <c r="C301" s="124" t="s">
        <v>328</v>
      </c>
      <c r="D301" s="126" t="s">
        <v>168</v>
      </c>
      <c r="E301" s="126" t="s">
        <v>168</v>
      </c>
      <c r="F301" s="126" t="s">
        <v>168</v>
      </c>
      <c r="G301" s="126" t="s">
        <v>245</v>
      </c>
      <c r="H301" s="128" t="s">
        <v>168</v>
      </c>
      <c r="I301" s="266"/>
      <c r="J301" s="131">
        <f>J304+J302</f>
        <v>1524300</v>
      </c>
      <c r="K301" s="131">
        <f>K304+K302</f>
        <v>0</v>
      </c>
      <c r="L301" s="131">
        <f>L304+L302</f>
        <v>1000500</v>
      </c>
      <c r="M301" s="132">
        <f>M304+M302</f>
        <v>1974600</v>
      </c>
      <c r="N301" s="133">
        <f>N304+N302</f>
        <v>1652400</v>
      </c>
      <c r="O301" s="113"/>
    </row>
    <row r="302" spans="1:15" ht="28.5" customHeight="1">
      <c r="A302" s="136"/>
      <c r="B302" s="134" t="s">
        <v>73</v>
      </c>
      <c r="C302" s="124" t="s">
        <v>328</v>
      </c>
      <c r="D302" s="126" t="s">
        <v>168</v>
      </c>
      <c r="E302" s="126" t="s">
        <v>168</v>
      </c>
      <c r="F302" s="126" t="s">
        <v>168</v>
      </c>
      <c r="G302" s="126" t="s">
        <v>245</v>
      </c>
      <c r="H302" s="128" t="s">
        <v>168</v>
      </c>
      <c r="I302" s="266" t="s">
        <v>74</v>
      </c>
      <c r="J302" s="131">
        <f>J303</f>
        <v>24300</v>
      </c>
      <c r="K302" s="131">
        <f>K303</f>
        <v>0</v>
      </c>
      <c r="L302" s="138">
        <f>L303</f>
        <v>500500</v>
      </c>
      <c r="M302" s="139">
        <f>M303</f>
        <v>474600</v>
      </c>
      <c r="N302" s="140">
        <f>N303</f>
        <v>152400</v>
      </c>
      <c r="O302" s="113"/>
    </row>
    <row r="303" spans="1:15" ht="36.75" customHeight="1">
      <c r="A303" s="136"/>
      <c r="B303" s="134" t="s">
        <v>75</v>
      </c>
      <c r="C303" s="124" t="s">
        <v>328</v>
      </c>
      <c r="D303" s="126" t="s">
        <v>168</v>
      </c>
      <c r="E303" s="126" t="s">
        <v>168</v>
      </c>
      <c r="F303" s="126" t="s">
        <v>168</v>
      </c>
      <c r="G303" s="126" t="s">
        <v>245</v>
      </c>
      <c r="H303" s="128" t="s">
        <v>168</v>
      </c>
      <c r="I303" s="266" t="s">
        <v>76</v>
      </c>
      <c r="J303" s="131">
        <v>24300</v>
      </c>
      <c r="K303" s="131">
        <v>0</v>
      </c>
      <c r="L303" s="131">
        <v>500500</v>
      </c>
      <c r="M303" s="132">
        <v>474600</v>
      </c>
      <c r="N303" s="133">
        <v>152400</v>
      </c>
      <c r="O303" s="113"/>
    </row>
    <row r="304" spans="1:15" ht="16.5" customHeight="1">
      <c r="A304" s="136"/>
      <c r="B304" s="134" t="s">
        <v>127</v>
      </c>
      <c r="C304" s="124" t="s">
        <v>328</v>
      </c>
      <c r="D304" s="126" t="s">
        <v>168</v>
      </c>
      <c r="E304" s="126" t="s">
        <v>168</v>
      </c>
      <c r="F304" s="126" t="s">
        <v>168</v>
      </c>
      <c r="G304" s="126" t="s">
        <v>245</v>
      </c>
      <c r="H304" s="128" t="s">
        <v>168</v>
      </c>
      <c r="I304" s="266" t="s">
        <v>140</v>
      </c>
      <c r="J304" s="131">
        <f>J305</f>
        <v>1500000</v>
      </c>
      <c r="K304" s="131">
        <f>K305</f>
        <v>0</v>
      </c>
      <c r="L304" s="138">
        <f>L305</f>
        <v>500000</v>
      </c>
      <c r="M304" s="139">
        <f>M305</f>
        <v>1500000</v>
      </c>
      <c r="N304" s="140">
        <f>N305</f>
        <v>1500000</v>
      </c>
      <c r="O304" s="113"/>
    </row>
    <row r="305" spans="1:15" ht="16.5" customHeight="1">
      <c r="A305" s="136"/>
      <c r="B305" s="197" t="s">
        <v>141</v>
      </c>
      <c r="C305" s="124" t="s">
        <v>328</v>
      </c>
      <c r="D305" s="126" t="s">
        <v>168</v>
      </c>
      <c r="E305" s="126" t="s">
        <v>168</v>
      </c>
      <c r="F305" s="126" t="s">
        <v>168</v>
      </c>
      <c r="G305" s="126" t="s">
        <v>245</v>
      </c>
      <c r="H305" s="128" t="s">
        <v>168</v>
      </c>
      <c r="I305" s="266" t="s">
        <v>175</v>
      </c>
      <c r="J305" s="131">
        <v>1500000</v>
      </c>
      <c r="K305" s="131">
        <v>0</v>
      </c>
      <c r="L305" s="138">
        <v>500000</v>
      </c>
      <c r="M305" s="139">
        <v>1500000</v>
      </c>
      <c r="N305" s="140">
        <v>1500000</v>
      </c>
      <c r="O305" s="113"/>
    </row>
    <row r="306" spans="1:15" ht="5.25" customHeight="1">
      <c r="A306" s="136"/>
      <c r="B306" s="225"/>
      <c r="C306" s="226"/>
      <c r="D306" s="227"/>
      <c r="E306" s="204"/>
      <c r="F306" s="204"/>
      <c r="G306" s="294"/>
      <c r="H306" s="229"/>
      <c r="I306" s="254"/>
      <c r="J306" s="207"/>
      <c r="K306" s="207"/>
      <c r="L306" s="207"/>
      <c r="M306" s="208"/>
      <c r="N306" s="209"/>
      <c r="O306" s="113"/>
    </row>
    <row r="307" spans="1:15" ht="15" customHeight="1">
      <c r="A307" s="136"/>
      <c r="B307" s="134"/>
      <c r="C307" s="313"/>
      <c r="D307" s="303"/>
      <c r="E307" s="314"/>
      <c r="F307" s="314"/>
      <c r="G307" s="304"/>
      <c r="H307" s="314"/>
      <c r="I307" s="215"/>
      <c r="J307" s="130"/>
      <c r="K307" s="131"/>
      <c r="L307" s="268"/>
      <c r="M307" s="269"/>
      <c r="N307" s="270"/>
      <c r="O307" s="113"/>
    </row>
    <row r="308" spans="2:15" ht="36">
      <c r="B308" s="104" t="s">
        <v>44</v>
      </c>
      <c r="C308" s="105"/>
      <c r="D308" s="106"/>
      <c r="E308" s="106"/>
      <c r="F308" s="106"/>
      <c r="G308" s="107"/>
      <c r="H308" s="107"/>
      <c r="I308" s="109"/>
      <c r="J308" s="110" t="e">
        <f>J309+J315+J330+J347+J379+J384+J409+J418+#REF!+#REF!</f>
        <v>#REF!</v>
      </c>
      <c r="K308" s="111" t="e">
        <f>K309+K315+K330+K347+K379+K384+K409+K418+#REF!+#REF!</f>
        <v>#REF!</v>
      </c>
      <c r="L308" s="111">
        <f>L309+L315+L330+L347+L379+L384+L409+L418+L446</f>
        <v>175638523.41000003</v>
      </c>
      <c r="M308" s="111">
        <f>M309+M315+M330+M347+M379+M384+M409+M418+M446</f>
        <v>138335992.86</v>
      </c>
      <c r="N308" s="112">
        <f>N309+N315+N330+N347+N379+N384+N409+N418+N446</f>
        <v>135308265.49</v>
      </c>
      <c r="O308" s="113"/>
    </row>
    <row r="309" spans="2:15" ht="48" customHeight="1">
      <c r="B309" s="114" t="s">
        <v>37</v>
      </c>
      <c r="C309" s="115" t="s">
        <v>7</v>
      </c>
      <c r="D309" s="116" t="s">
        <v>168</v>
      </c>
      <c r="E309" s="156" t="s">
        <v>168</v>
      </c>
      <c r="F309" s="156" t="s">
        <v>168</v>
      </c>
      <c r="G309" s="116" t="s">
        <v>169</v>
      </c>
      <c r="H309" s="163" t="s">
        <v>168</v>
      </c>
      <c r="I309" s="143"/>
      <c r="J309" s="110">
        <f aca="true" t="shared" si="53" ref="J309:L311">J310</f>
        <v>4160910</v>
      </c>
      <c r="K309" s="111">
        <f t="shared" si="53"/>
        <v>0</v>
      </c>
      <c r="L309" s="111">
        <f>L310</f>
        <v>4391780.96</v>
      </c>
      <c r="M309" s="112">
        <f>M310</f>
        <v>4391780.96</v>
      </c>
      <c r="N309" s="119">
        <f>N310</f>
        <v>4391780.96</v>
      </c>
      <c r="O309" s="113"/>
    </row>
    <row r="310" spans="2:15" ht="25.5">
      <c r="B310" s="135" t="s">
        <v>40</v>
      </c>
      <c r="C310" s="144" t="s">
        <v>7</v>
      </c>
      <c r="D310" s="136" t="s">
        <v>168</v>
      </c>
      <c r="E310" s="136" t="s">
        <v>168</v>
      </c>
      <c r="F310" s="136" t="s">
        <v>168</v>
      </c>
      <c r="G310" s="136" t="s">
        <v>36</v>
      </c>
      <c r="H310" s="126" t="s">
        <v>168</v>
      </c>
      <c r="I310" s="137"/>
      <c r="J310" s="130">
        <f t="shared" si="53"/>
        <v>4160910</v>
      </c>
      <c r="K310" s="131">
        <f t="shared" si="53"/>
        <v>0</v>
      </c>
      <c r="L310" s="131">
        <f t="shared" si="53"/>
        <v>4391780.96</v>
      </c>
      <c r="M310" s="132">
        <f>M311</f>
        <v>4391780.96</v>
      </c>
      <c r="N310" s="133">
        <f>N311</f>
        <v>4391780.96</v>
      </c>
      <c r="O310" s="113"/>
    </row>
    <row r="311" spans="2:15" ht="51">
      <c r="B311" s="134" t="s">
        <v>92</v>
      </c>
      <c r="C311" s="144" t="s">
        <v>7</v>
      </c>
      <c r="D311" s="136" t="s">
        <v>168</v>
      </c>
      <c r="E311" s="136" t="s">
        <v>168</v>
      </c>
      <c r="F311" s="136" t="s">
        <v>168</v>
      </c>
      <c r="G311" s="136" t="s">
        <v>36</v>
      </c>
      <c r="H311" s="126" t="s">
        <v>168</v>
      </c>
      <c r="I311" s="137" t="s">
        <v>81</v>
      </c>
      <c r="J311" s="130">
        <f t="shared" si="53"/>
        <v>4160910</v>
      </c>
      <c r="K311" s="131">
        <f t="shared" si="53"/>
        <v>0</v>
      </c>
      <c r="L311" s="131">
        <f t="shared" si="53"/>
        <v>4391780.96</v>
      </c>
      <c r="M311" s="132">
        <f>M312</f>
        <v>4391780.96</v>
      </c>
      <c r="N311" s="133">
        <f>N312</f>
        <v>4391780.96</v>
      </c>
      <c r="O311" s="113"/>
    </row>
    <row r="312" spans="2:15" ht="25.5">
      <c r="B312" s="134" t="s">
        <v>82</v>
      </c>
      <c r="C312" s="144" t="s">
        <v>7</v>
      </c>
      <c r="D312" s="136" t="s">
        <v>168</v>
      </c>
      <c r="E312" s="136" t="s">
        <v>168</v>
      </c>
      <c r="F312" s="136" t="s">
        <v>168</v>
      </c>
      <c r="G312" s="136" t="s">
        <v>36</v>
      </c>
      <c r="H312" s="126" t="s">
        <v>168</v>
      </c>
      <c r="I312" s="137">
        <v>120</v>
      </c>
      <c r="J312" s="130">
        <v>4160910</v>
      </c>
      <c r="K312" s="130">
        <v>0</v>
      </c>
      <c r="L312" s="315">
        <v>4391780.96</v>
      </c>
      <c r="M312" s="316">
        <v>4391780.96</v>
      </c>
      <c r="N312" s="317">
        <v>4391780.96</v>
      </c>
      <c r="O312" s="113"/>
    </row>
    <row r="313" spans="2:15" ht="12.75">
      <c r="B313" s="225"/>
      <c r="C313" s="261"/>
      <c r="D313" s="262"/>
      <c r="E313" s="262"/>
      <c r="F313" s="262"/>
      <c r="G313" s="262"/>
      <c r="H313" s="204"/>
      <c r="I313" s="264"/>
      <c r="J313" s="130"/>
      <c r="K313" s="131"/>
      <c r="L313" s="207"/>
      <c r="M313" s="208"/>
      <c r="N313" s="209"/>
      <c r="O313" s="113"/>
    </row>
    <row r="314" spans="2:15" ht="12.75">
      <c r="B314" s="134"/>
      <c r="C314" s="144"/>
      <c r="D314" s="136"/>
      <c r="E314" s="136"/>
      <c r="F314" s="136"/>
      <c r="G314" s="136"/>
      <c r="H314" s="266"/>
      <c r="I314" s="136"/>
      <c r="J314" s="269"/>
      <c r="K314" s="268"/>
      <c r="L314" s="268"/>
      <c r="M314" s="269"/>
      <c r="N314" s="270"/>
      <c r="O314" s="113"/>
    </row>
    <row r="315" spans="2:15" ht="31.5">
      <c r="B315" s="114" t="s">
        <v>38</v>
      </c>
      <c r="C315" s="115" t="s">
        <v>8</v>
      </c>
      <c r="D315" s="116" t="s">
        <v>168</v>
      </c>
      <c r="E315" s="156" t="s">
        <v>168</v>
      </c>
      <c r="F315" s="156" t="s">
        <v>168</v>
      </c>
      <c r="G315" s="116" t="s">
        <v>169</v>
      </c>
      <c r="H315" s="157" t="s">
        <v>168</v>
      </c>
      <c r="I315" s="142"/>
      <c r="J315" s="112">
        <f>J316++J321</f>
        <v>3051274</v>
      </c>
      <c r="K315" s="111">
        <f>K316++K321</f>
        <v>0</v>
      </c>
      <c r="L315" s="111">
        <f>L316++L321</f>
        <v>4517012.57</v>
      </c>
      <c r="M315" s="112">
        <f>M316++M321</f>
        <v>4517012.57</v>
      </c>
      <c r="N315" s="119">
        <f>N316++N321</f>
        <v>4517012.57</v>
      </c>
      <c r="O315" s="113"/>
    </row>
    <row r="316" spans="2:15" ht="25.5">
      <c r="B316" s="121" t="s">
        <v>39</v>
      </c>
      <c r="C316" s="115" t="s">
        <v>8</v>
      </c>
      <c r="D316" s="116">
        <v>1</v>
      </c>
      <c r="E316" s="156" t="s">
        <v>168</v>
      </c>
      <c r="F316" s="156" t="s">
        <v>168</v>
      </c>
      <c r="G316" s="116" t="s">
        <v>169</v>
      </c>
      <c r="H316" s="157" t="s">
        <v>168</v>
      </c>
      <c r="I316" s="142"/>
      <c r="J316" s="112">
        <f aca="true" t="shared" si="54" ref="J316:L318">J317</f>
        <v>1708374</v>
      </c>
      <c r="K316" s="111">
        <f t="shared" si="54"/>
        <v>0</v>
      </c>
      <c r="L316" s="111">
        <f t="shared" si="54"/>
        <v>2792320.98</v>
      </c>
      <c r="M316" s="112">
        <f aca="true" t="shared" si="55" ref="M316:N318">M317</f>
        <v>2792320.98</v>
      </c>
      <c r="N316" s="119">
        <f t="shared" si="55"/>
        <v>2792320.98</v>
      </c>
      <c r="O316" s="113"/>
    </row>
    <row r="317" spans="2:15" ht="25.5">
      <c r="B317" s="135" t="s">
        <v>40</v>
      </c>
      <c r="C317" s="144" t="s">
        <v>8</v>
      </c>
      <c r="D317" s="136">
        <v>1</v>
      </c>
      <c r="E317" s="136" t="s">
        <v>168</v>
      </c>
      <c r="F317" s="136" t="s">
        <v>168</v>
      </c>
      <c r="G317" s="136" t="s">
        <v>36</v>
      </c>
      <c r="H317" s="128" t="s">
        <v>168</v>
      </c>
      <c r="I317" s="136"/>
      <c r="J317" s="132">
        <f t="shared" si="54"/>
        <v>1708374</v>
      </c>
      <c r="K317" s="131">
        <f t="shared" si="54"/>
        <v>0</v>
      </c>
      <c r="L317" s="131">
        <f t="shared" si="54"/>
        <v>2792320.98</v>
      </c>
      <c r="M317" s="132">
        <f t="shared" si="55"/>
        <v>2792320.98</v>
      </c>
      <c r="N317" s="133">
        <f t="shared" si="55"/>
        <v>2792320.98</v>
      </c>
      <c r="O317" s="113"/>
    </row>
    <row r="318" spans="2:15" ht="51">
      <c r="B318" s="134" t="s">
        <v>92</v>
      </c>
      <c r="C318" s="144" t="s">
        <v>8</v>
      </c>
      <c r="D318" s="136" t="s">
        <v>170</v>
      </c>
      <c r="E318" s="136" t="s">
        <v>168</v>
      </c>
      <c r="F318" s="136" t="s">
        <v>168</v>
      </c>
      <c r="G318" s="136" t="s">
        <v>36</v>
      </c>
      <c r="H318" s="128" t="s">
        <v>168</v>
      </c>
      <c r="I318" s="136">
        <v>100</v>
      </c>
      <c r="J318" s="132">
        <f t="shared" si="54"/>
        <v>1708374</v>
      </c>
      <c r="K318" s="131">
        <f t="shared" si="54"/>
        <v>0</v>
      </c>
      <c r="L318" s="131">
        <f t="shared" si="54"/>
        <v>2792320.98</v>
      </c>
      <c r="M318" s="132">
        <f t="shared" si="55"/>
        <v>2792320.98</v>
      </c>
      <c r="N318" s="133">
        <f t="shared" si="55"/>
        <v>2792320.98</v>
      </c>
      <c r="O318" s="113"/>
    </row>
    <row r="319" spans="2:15" ht="25.5">
      <c r="B319" s="134" t="s">
        <v>82</v>
      </c>
      <c r="C319" s="144" t="s">
        <v>8</v>
      </c>
      <c r="D319" s="136" t="s">
        <v>170</v>
      </c>
      <c r="E319" s="136" t="s">
        <v>168</v>
      </c>
      <c r="F319" s="136" t="s">
        <v>168</v>
      </c>
      <c r="G319" s="136" t="s">
        <v>36</v>
      </c>
      <c r="H319" s="128" t="s">
        <v>168</v>
      </c>
      <c r="I319" s="136">
        <v>120</v>
      </c>
      <c r="J319" s="132">
        <v>1708374</v>
      </c>
      <c r="K319" s="131">
        <v>0</v>
      </c>
      <c r="L319" s="138">
        <v>2792320.98</v>
      </c>
      <c r="M319" s="139">
        <v>2792320.98</v>
      </c>
      <c r="N319" s="140">
        <v>2792320.98</v>
      </c>
      <c r="O319" s="113"/>
    </row>
    <row r="320" spans="2:15" ht="12.75">
      <c r="B320" s="134"/>
      <c r="C320" s="144"/>
      <c r="D320" s="136"/>
      <c r="E320" s="136"/>
      <c r="F320" s="136"/>
      <c r="G320" s="136"/>
      <c r="H320" s="128"/>
      <c r="I320" s="136"/>
      <c r="J320" s="132"/>
      <c r="K320" s="131"/>
      <c r="L320" s="131"/>
      <c r="M320" s="132"/>
      <c r="N320" s="133"/>
      <c r="O320" s="113"/>
    </row>
    <row r="321" spans="2:15" ht="12.75">
      <c r="B321" s="121" t="s">
        <v>41</v>
      </c>
      <c r="C321" s="115" t="s">
        <v>8</v>
      </c>
      <c r="D321" s="116" t="s">
        <v>166</v>
      </c>
      <c r="E321" s="156" t="s">
        <v>168</v>
      </c>
      <c r="F321" s="156" t="s">
        <v>168</v>
      </c>
      <c r="G321" s="116" t="s">
        <v>169</v>
      </c>
      <c r="H321" s="157" t="s">
        <v>168</v>
      </c>
      <c r="I321" s="142"/>
      <c r="J321" s="112">
        <f>J322</f>
        <v>1342900</v>
      </c>
      <c r="K321" s="111">
        <f>K322</f>
        <v>0</v>
      </c>
      <c r="L321" s="111">
        <f>L322</f>
        <v>1724691.59</v>
      </c>
      <c r="M321" s="112">
        <f>M322</f>
        <v>1724691.59</v>
      </c>
      <c r="N321" s="119">
        <f>N322</f>
        <v>1724691.59</v>
      </c>
      <c r="O321" s="113"/>
    </row>
    <row r="322" spans="2:15" ht="25.5">
      <c r="B322" s="135" t="s">
        <v>40</v>
      </c>
      <c r="C322" s="144" t="s">
        <v>8</v>
      </c>
      <c r="D322" s="136" t="s">
        <v>166</v>
      </c>
      <c r="E322" s="136" t="s">
        <v>168</v>
      </c>
      <c r="F322" s="136" t="s">
        <v>168</v>
      </c>
      <c r="G322" s="136" t="s">
        <v>36</v>
      </c>
      <c r="H322" s="128" t="s">
        <v>168</v>
      </c>
      <c r="I322" s="136"/>
      <c r="J322" s="132">
        <f>J323+J325+J327</f>
        <v>1342900</v>
      </c>
      <c r="K322" s="131">
        <f>K323+K325+K327</f>
        <v>0</v>
      </c>
      <c r="L322" s="131">
        <f>L323+L325+L327</f>
        <v>1724691.59</v>
      </c>
      <c r="M322" s="132">
        <f>M323+M325+M327</f>
        <v>1724691.59</v>
      </c>
      <c r="N322" s="133">
        <f>N323+N325+N327</f>
        <v>1724691.59</v>
      </c>
      <c r="O322" s="113"/>
    </row>
    <row r="323" spans="2:15" ht="51">
      <c r="B323" s="134" t="s">
        <v>92</v>
      </c>
      <c r="C323" s="144" t="s">
        <v>8</v>
      </c>
      <c r="D323" s="136" t="s">
        <v>166</v>
      </c>
      <c r="E323" s="136" t="s">
        <v>168</v>
      </c>
      <c r="F323" s="136" t="s">
        <v>168</v>
      </c>
      <c r="G323" s="136" t="s">
        <v>36</v>
      </c>
      <c r="H323" s="128" t="s">
        <v>168</v>
      </c>
      <c r="I323" s="136">
        <v>100</v>
      </c>
      <c r="J323" s="132">
        <f>J324</f>
        <v>1153600</v>
      </c>
      <c r="K323" s="131">
        <f>K324</f>
        <v>0</v>
      </c>
      <c r="L323" s="138">
        <f>L324</f>
        <v>1655391.59</v>
      </c>
      <c r="M323" s="139">
        <f>M324</f>
        <v>1655391.59</v>
      </c>
      <c r="N323" s="140">
        <f>N324</f>
        <v>1655391.59</v>
      </c>
      <c r="O323" s="113"/>
    </row>
    <row r="324" spans="2:15" ht="25.5">
      <c r="B324" s="134" t="s">
        <v>82</v>
      </c>
      <c r="C324" s="144" t="s">
        <v>8</v>
      </c>
      <c r="D324" s="136" t="s">
        <v>166</v>
      </c>
      <c r="E324" s="136" t="s">
        <v>168</v>
      </c>
      <c r="F324" s="136" t="s">
        <v>168</v>
      </c>
      <c r="G324" s="136" t="s">
        <v>36</v>
      </c>
      <c r="H324" s="128" t="s">
        <v>168</v>
      </c>
      <c r="I324" s="136">
        <v>120</v>
      </c>
      <c r="J324" s="139">
        <v>1153600</v>
      </c>
      <c r="K324" s="138">
        <v>0</v>
      </c>
      <c r="L324" s="138">
        <v>1655391.59</v>
      </c>
      <c r="M324" s="139">
        <v>1655391.59</v>
      </c>
      <c r="N324" s="140">
        <v>1655391.59</v>
      </c>
      <c r="O324" s="113"/>
    </row>
    <row r="325" spans="2:15" ht="25.5">
      <c r="B325" s="134" t="s">
        <v>73</v>
      </c>
      <c r="C325" s="144" t="s">
        <v>8</v>
      </c>
      <c r="D325" s="136" t="s">
        <v>166</v>
      </c>
      <c r="E325" s="136" t="s">
        <v>168</v>
      </c>
      <c r="F325" s="136" t="s">
        <v>168</v>
      </c>
      <c r="G325" s="136" t="s">
        <v>36</v>
      </c>
      <c r="H325" s="128" t="s">
        <v>168</v>
      </c>
      <c r="I325" s="136" t="s">
        <v>74</v>
      </c>
      <c r="J325" s="139">
        <f>J326</f>
        <v>189300</v>
      </c>
      <c r="K325" s="138">
        <f>K326</f>
        <v>0</v>
      </c>
      <c r="L325" s="138">
        <f>L326</f>
        <v>69300</v>
      </c>
      <c r="M325" s="139">
        <f>M326</f>
        <v>69300</v>
      </c>
      <c r="N325" s="140">
        <f>N326</f>
        <v>69300</v>
      </c>
      <c r="O325" s="113"/>
    </row>
    <row r="326" spans="2:15" ht="25.5">
      <c r="B326" s="134" t="s">
        <v>75</v>
      </c>
      <c r="C326" s="144" t="s">
        <v>8</v>
      </c>
      <c r="D326" s="136" t="s">
        <v>166</v>
      </c>
      <c r="E326" s="136" t="s">
        <v>168</v>
      </c>
      <c r="F326" s="136" t="s">
        <v>168</v>
      </c>
      <c r="G326" s="136" t="s">
        <v>36</v>
      </c>
      <c r="H326" s="128" t="s">
        <v>168</v>
      </c>
      <c r="I326" s="136" t="s">
        <v>76</v>
      </c>
      <c r="J326" s="139">
        <v>189300</v>
      </c>
      <c r="K326" s="138">
        <v>0</v>
      </c>
      <c r="L326" s="138">
        <v>69300</v>
      </c>
      <c r="M326" s="139">
        <v>69300</v>
      </c>
      <c r="N326" s="140">
        <v>69300</v>
      </c>
      <c r="O326" s="113"/>
    </row>
    <row r="327" spans="2:15" ht="12.75" hidden="1">
      <c r="B327" s="134" t="s">
        <v>83</v>
      </c>
      <c r="C327" s="124" t="s">
        <v>8</v>
      </c>
      <c r="D327" s="126" t="s">
        <v>166</v>
      </c>
      <c r="E327" s="126" t="s">
        <v>168</v>
      </c>
      <c r="F327" s="126" t="s">
        <v>168</v>
      </c>
      <c r="G327" s="126" t="s">
        <v>36</v>
      </c>
      <c r="H327" s="128" t="s">
        <v>168</v>
      </c>
      <c r="I327" s="136" t="s">
        <v>84</v>
      </c>
      <c r="J327" s="132">
        <f>J328</f>
        <v>0</v>
      </c>
      <c r="K327" s="131">
        <f>K328</f>
        <v>0</v>
      </c>
      <c r="L327" s="131">
        <f>L328</f>
        <v>0</v>
      </c>
      <c r="M327" s="132">
        <f>M328</f>
        <v>0</v>
      </c>
      <c r="N327" s="133">
        <f>N328</f>
        <v>0</v>
      </c>
      <c r="O327" s="113"/>
    </row>
    <row r="328" spans="2:15" ht="12.75" hidden="1">
      <c r="B328" s="134" t="s">
        <v>85</v>
      </c>
      <c r="C328" s="124" t="s">
        <v>8</v>
      </c>
      <c r="D328" s="126" t="s">
        <v>166</v>
      </c>
      <c r="E328" s="126" t="s">
        <v>168</v>
      </c>
      <c r="F328" s="126" t="s">
        <v>168</v>
      </c>
      <c r="G328" s="126" t="s">
        <v>36</v>
      </c>
      <c r="H328" s="128" t="s">
        <v>168</v>
      </c>
      <c r="I328" s="136" t="s">
        <v>86</v>
      </c>
      <c r="J328" s="132">
        <v>0</v>
      </c>
      <c r="K328" s="131">
        <v>0</v>
      </c>
      <c r="L328" s="131">
        <v>0</v>
      </c>
      <c r="M328" s="132">
        <v>0</v>
      </c>
      <c r="N328" s="133">
        <v>0</v>
      </c>
      <c r="O328" s="113"/>
    </row>
    <row r="329" spans="2:15" ht="12.75">
      <c r="B329" s="225"/>
      <c r="C329" s="261"/>
      <c r="D329" s="262"/>
      <c r="E329" s="262"/>
      <c r="F329" s="262"/>
      <c r="G329" s="262"/>
      <c r="H329" s="263"/>
      <c r="I329" s="262"/>
      <c r="J329" s="208"/>
      <c r="K329" s="207"/>
      <c r="L329" s="207"/>
      <c r="M329" s="208"/>
      <c r="N329" s="209"/>
      <c r="O329" s="113"/>
    </row>
    <row r="330" spans="2:15" ht="31.5">
      <c r="B330" s="318" t="s">
        <v>42</v>
      </c>
      <c r="C330" s="190" t="s">
        <v>9</v>
      </c>
      <c r="D330" s="191" t="s">
        <v>168</v>
      </c>
      <c r="E330" s="192" t="s">
        <v>168</v>
      </c>
      <c r="F330" s="192" t="s">
        <v>168</v>
      </c>
      <c r="G330" s="191" t="s">
        <v>169</v>
      </c>
      <c r="H330" s="175" t="s">
        <v>168</v>
      </c>
      <c r="I330" s="98"/>
      <c r="J330" s="194">
        <f>J341</f>
        <v>2141100</v>
      </c>
      <c r="K330" s="194">
        <f>K334+K338+K340+K341</f>
        <v>331938</v>
      </c>
      <c r="L330" s="194">
        <f>L334+L338+L340+L341</f>
        <v>3202795.42</v>
      </c>
      <c r="M330" s="195">
        <f>M331+M335+M341</f>
        <v>3202795.42</v>
      </c>
      <c r="N330" s="196">
        <f>N334+N338+N340+N341</f>
        <v>3202795.42</v>
      </c>
      <c r="O330" s="113"/>
    </row>
    <row r="331" spans="2:15" ht="25.5">
      <c r="B331" s="134" t="s">
        <v>334</v>
      </c>
      <c r="C331" s="124" t="s">
        <v>9</v>
      </c>
      <c r="D331" s="126" t="s">
        <v>170</v>
      </c>
      <c r="E331" s="126" t="s">
        <v>168</v>
      </c>
      <c r="F331" s="126" t="s">
        <v>168</v>
      </c>
      <c r="G331" s="126" t="s">
        <v>169</v>
      </c>
      <c r="H331" s="126" t="s">
        <v>168</v>
      </c>
      <c r="I331" s="184"/>
      <c r="J331" s="131">
        <f>J332</f>
        <v>0</v>
      </c>
      <c r="K331" s="131">
        <f aca="true" t="shared" si="56" ref="K331:L333">K332</f>
        <v>1540338</v>
      </c>
      <c r="L331" s="131">
        <f t="shared" si="56"/>
        <v>1806155.17</v>
      </c>
      <c r="M331" s="132">
        <f aca="true" t="shared" si="57" ref="M331:N333">M332</f>
        <v>1806155.17</v>
      </c>
      <c r="N331" s="133">
        <f t="shared" si="57"/>
        <v>1806155.17</v>
      </c>
      <c r="O331" s="113"/>
    </row>
    <row r="332" spans="2:15" ht="25.5">
      <c r="B332" s="135" t="s">
        <v>40</v>
      </c>
      <c r="C332" s="124" t="s">
        <v>9</v>
      </c>
      <c r="D332" s="126" t="s">
        <v>170</v>
      </c>
      <c r="E332" s="126" t="s">
        <v>168</v>
      </c>
      <c r="F332" s="126" t="s">
        <v>168</v>
      </c>
      <c r="G332" s="126" t="s">
        <v>36</v>
      </c>
      <c r="H332" s="126" t="s">
        <v>168</v>
      </c>
      <c r="I332" s="184"/>
      <c r="J332" s="131">
        <f>J333</f>
        <v>0</v>
      </c>
      <c r="K332" s="131">
        <f t="shared" si="56"/>
        <v>1540338</v>
      </c>
      <c r="L332" s="131">
        <f t="shared" si="56"/>
        <v>1806155.17</v>
      </c>
      <c r="M332" s="132">
        <f t="shared" si="57"/>
        <v>1806155.17</v>
      </c>
      <c r="N332" s="133">
        <f t="shared" si="57"/>
        <v>1806155.17</v>
      </c>
      <c r="O332" s="113"/>
    </row>
    <row r="333" spans="2:15" ht="51">
      <c r="B333" s="134" t="s">
        <v>92</v>
      </c>
      <c r="C333" s="124" t="s">
        <v>9</v>
      </c>
      <c r="D333" s="126" t="s">
        <v>170</v>
      </c>
      <c r="E333" s="126" t="s">
        <v>168</v>
      </c>
      <c r="F333" s="126" t="s">
        <v>168</v>
      </c>
      <c r="G333" s="126" t="s">
        <v>36</v>
      </c>
      <c r="H333" s="126" t="s">
        <v>168</v>
      </c>
      <c r="I333" s="137">
        <v>100</v>
      </c>
      <c r="J333" s="131">
        <f>J334</f>
        <v>0</v>
      </c>
      <c r="K333" s="131">
        <f t="shared" si="56"/>
        <v>1540338</v>
      </c>
      <c r="L333" s="131">
        <f t="shared" si="56"/>
        <v>1806155.17</v>
      </c>
      <c r="M333" s="132">
        <f t="shared" si="57"/>
        <v>1806155.17</v>
      </c>
      <c r="N333" s="133">
        <f t="shared" si="57"/>
        <v>1806155.17</v>
      </c>
      <c r="O333" s="113"/>
    </row>
    <row r="334" spans="2:15" ht="25.5">
      <c r="B334" s="134" t="s">
        <v>82</v>
      </c>
      <c r="C334" s="124" t="s">
        <v>9</v>
      </c>
      <c r="D334" s="126" t="s">
        <v>170</v>
      </c>
      <c r="E334" s="126" t="s">
        <v>168</v>
      </c>
      <c r="F334" s="126" t="s">
        <v>168</v>
      </c>
      <c r="G334" s="126" t="s">
        <v>36</v>
      </c>
      <c r="H334" s="126" t="s">
        <v>168</v>
      </c>
      <c r="I334" s="137">
        <v>120</v>
      </c>
      <c r="J334" s="131">
        <v>0</v>
      </c>
      <c r="K334" s="131">
        <f>1208400+331938</f>
        <v>1540338</v>
      </c>
      <c r="L334" s="319">
        <v>1806155.17</v>
      </c>
      <c r="M334" s="320">
        <v>1806155.17</v>
      </c>
      <c r="N334" s="321">
        <v>1806155.17</v>
      </c>
      <c r="O334" s="113"/>
    </row>
    <row r="335" spans="2:15" ht="12.75">
      <c r="B335" s="135" t="s">
        <v>48</v>
      </c>
      <c r="C335" s="124" t="s">
        <v>9</v>
      </c>
      <c r="D335" s="126" t="s">
        <v>166</v>
      </c>
      <c r="E335" s="126" t="s">
        <v>168</v>
      </c>
      <c r="F335" s="126" t="s">
        <v>168</v>
      </c>
      <c r="G335" s="126" t="s">
        <v>169</v>
      </c>
      <c r="H335" s="126" t="s">
        <v>168</v>
      </c>
      <c r="I335" s="184"/>
      <c r="J335" s="131">
        <f>J336</f>
        <v>0</v>
      </c>
      <c r="K335" s="131">
        <f>K336</f>
        <v>932700</v>
      </c>
      <c r="L335" s="131">
        <f>L336</f>
        <v>1396640.25</v>
      </c>
      <c r="M335" s="132">
        <f>M336</f>
        <v>1396640.25</v>
      </c>
      <c r="N335" s="133">
        <f>N336</f>
        <v>1396640.25</v>
      </c>
      <c r="O335" s="113"/>
    </row>
    <row r="336" spans="2:15" ht="25.5">
      <c r="B336" s="135" t="s">
        <v>40</v>
      </c>
      <c r="C336" s="124" t="s">
        <v>9</v>
      </c>
      <c r="D336" s="126" t="s">
        <v>166</v>
      </c>
      <c r="E336" s="126" t="s">
        <v>168</v>
      </c>
      <c r="F336" s="126" t="s">
        <v>168</v>
      </c>
      <c r="G336" s="126" t="s">
        <v>36</v>
      </c>
      <c r="H336" s="126" t="s">
        <v>168</v>
      </c>
      <c r="I336" s="184"/>
      <c r="J336" s="131">
        <f>J337+J339</f>
        <v>0</v>
      </c>
      <c r="K336" s="131">
        <f>K337+K339</f>
        <v>932700</v>
      </c>
      <c r="L336" s="131">
        <f>L337+L339</f>
        <v>1396640.25</v>
      </c>
      <c r="M336" s="132">
        <f>M337+M339</f>
        <v>1396640.25</v>
      </c>
      <c r="N336" s="133">
        <f>N337+N339</f>
        <v>1396640.25</v>
      </c>
      <c r="O336" s="113"/>
    </row>
    <row r="337" spans="2:15" ht="51">
      <c r="B337" s="134" t="s">
        <v>92</v>
      </c>
      <c r="C337" s="124" t="s">
        <v>9</v>
      </c>
      <c r="D337" s="126" t="s">
        <v>166</v>
      </c>
      <c r="E337" s="126" t="s">
        <v>168</v>
      </c>
      <c r="F337" s="126" t="s">
        <v>168</v>
      </c>
      <c r="G337" s="126" t="s">
        <v>36</v>
      </c>
      <c r="H337" s="126" t="s">
        <v>168</v>
      </c>
      <c r="I337" s="137">
        <v>100</v>
      </c>
      <c r="J337" s="131">
        <f>J338</f>
        <v>0</v>
      </c>
      <c r="K337" s="131">
        <f>K338</f>
        <v>891600</v>
      </c>
      <c r="L337" s="319">
        <f>L338</f>
        <v>1355540.25</v>
      </c>
      <c r="M337" s="320">
        <f>M338</f>
        <v>1355540.25</v>
      </c>
      <c r="N337" s="321">
        <f>N338</f>
        <v>1355540.25</v>
      </c>
      <c r="O337" s="113"/>
    </row>
    <row r="338" spans="2:15" ht="25.5">
      <c r="B338" s="134" t="s">
        <v>82</v>
      </c>
      <c r="C338" s="124" t="s">
        <v>9</v>
      </c>
      <c r="D338" s="126" t="s">
        <v>166</v>
      </c>
      <c r="E338" s="126" t="s">
        <v>168</v>
      </c>
      <c r="F338" s="126" t="s">
        <v>168</v>
      </c>
      <c r="G338" s="126" t="s">
        <v>36</v>
      </c>
      <c r="H338" s="126" t="s">
        <v>168</v>
      </c>
      <c r="I338" s="137">
        <v>120</v>
      </c>
      <c r="J338" s="131">
        <v>0</v>
      </c>
      <c r="K338" s="131">
        <v>891600</v>
      </c>
      <c r="L338" s="319">
        <f>16700+1338840.25</f>
        <v>1355540.25</v>
      </c>
      <c r="M338" s="320">
        <f>16700+1338840.25</f>
        <v>1355540.25</v>
      </c>
      <c r="N338" s="321">
        <f>16700+1338840.25</f>
        <v>1355540.25</v>
      </c>
      <c r="O338" s="113"/>
    </row>
    <row r="339" spans="2:15" ht="25.5">
      <c r="B339" s="134" t="s">
        <v>73</v>
      </c>
      <c r="C339" s="124" t="s">
        <v>9</v>
      </c>
      <c r="D339" s="126" t="s">
        <v>166</v>
      </c>
      <c r="E339" s="126" t="s">
        <v>168</v>
      </c>
      <c r="F339" s="126" t="s">
        <v>168</v>
      </c>
      <c r="G339" s="126" t="s">
        <v>36</v>
      </c>
      <c r="H339" s="126" t="s">
        <v>168</v>
      </c>
      <c r="I339" s="137" t="s">
        <v>74</v>
      </c>
      <c r="J339" s="131">
        <f>J340</f>
        <v>0</v>
      </c>
      <c r="K339" s="131">
        <f>K340</f>
        <v>41100</v>
      </c>
      <c r="L339" s="319">
        <f>L340</f>
        <v>41100</v>
      </c>
      <c r="M339" s="320">
        <f>M340</f>
        <v>41100</v>
      </c>
      <c r="N339" s="321">
        <f>N340</f>
        <v>41100</v>
      </c>
      <c r="O339" s="113"/>
    </row>
    <row r="340" spans="2:15" ht="25.5">
      <c r="B340" s="134" t="s">
        <v>75</v>
      </c>
      <c r="C340" s="124" t="s">
        <v>9</v>
      </c>
      <c r="D340" s="126" t="s">
        <v>166</v>
      </c>
      <c r="E340" s="126" t="s">
        <v>168</v>
      </c>
      <c r="F340" s="126" t="s">
        <v>168</v>
      </c>
      <c r="G340" s="126" t="s">
        <v>36</v>
      </c>
      <c r="H340" s="126" t="s">
        <v>168</v>
      </c>
      <c r="I340" s="137">
        <v>240</v>
      </c>
      <c r="J340" s="131">
        <v>0</v>
      </c>
      <c r="K340" s="131">
        <v>41100</v>
      </c>
      <c r="L340" s="322">
        <v>41100</v>
      </c>
      <c r="M340" s="323">
        <v>41100</v>
      </c>
      <c r="N340" s="324">
        <v>41100</v>
      </c>
      <c r="O340" s="113"/>
    </row>
    <row r="341" spans="2:15" ht="25.5" hidden="1">
      <c r="B341" s="135" t="s">
        <v>40</v>
      </c>
      <c r="C341" s="144" t="s">
        <v>9</v>
      </c>
      <c r="D341" s="136" t="s">
        <v>168</v>
      </c>
      <c r="E341" s="136" t="s">
        <v>168</v>
      </c>
      <c r="F341" s="136" t="s">
        <v>168</v>
      </c>
      <c r="G341" s="136" t="s">
        <v>36</v>
      </c>
      <c r="H341" s="126" t="s">
        <v>168</v>
      </c>
      <c r="I341" s="137"/>
      <c r="J341" s="131">
        <f>J342+J344</f>
        <v>2141100</v>
      </c>
      <c r="K341" s="131">
        <f>K342+K344</f>
        <v>-2141100</v>
      </c>
      <c r="L341" s="131">
        <v>0</v>
      </c>
      <c r="M341" s="132">
        <f>M342+M344</f>
        <v>0</v>
      </c>
      <c r="N341" s="133">
        <f>N342+N344</f>
        <v>0</v>
      </c>
      <c r="O341" s="113"/>
    </row>
    <row r="342" spans="2:15" ht="51" hidden="1">
      <c r="B342" s="134" t="s">
        <v>92</v>
      </c>
      <c r="C342" s="144" t="s">
        <v>9</v>
      </c>
      <c r="D342" s="136" t="s">
        <v>168</v>
      </c>
      <c r="E342" s="136" t="s">
        <v>168</v>
      </c>
      <c r="F342" s="136" t="s">
        <v>168</v>
      </c>
      <c r="G342" s="136" t="s">
        <v>36</v>
      </c>
      <c r="H342" s="126" t="s">
        <v>168</v>
      </c>
      <c r="I342" s="137">
        <v>100</v>
      </c>
      <c r="J342" s="131">
        <f>J343</f>
        <v>2100000</v>
      </c>
      <c r="K342" s="131">
        <f>K343</f>
        <v>-2100000</v>
      </c>
      <c r="L342" s="131">
        <f>L343</f>
        <v>0</v>
      </c>
      <c r="M342" s="132">
        <f>M343</f>
        <v>0</v>
      </c>
      <c r="N342" s="133">
        <f>N343</f>
        <v>0</v>
      </c>
      <c r="O342" s="113"/>
    </row>
    <row r="343" spans="2:15" ht="25.5" hidden="1">
      <c r="B343" s="134" t="s">
        <v>82</v>
      </c>
      <c r="C343" s="144" t="s">
        <v>9</v>
      </c>
      <c r="D343" s="136" t="s">
        <v>168</v>
      </c>
      <c r="E343" s="136" t="s">
        <v>168</v>
      </c>
      <c r="F343" s="136" t="s">
        <v>168</v>
      </c>
      <c r="G343" s="136" t="s">
        <v>36</v>
      </c>
      <c r="H343" s="126" t="s">
        <v>168</v>
      </c>
      <c r="I343" s="137">
        <v>120</v>
      </c>
      <c r="J343" s="131">
        <v>2100000</v>
      </c>
      <c r="K343" s="131">
        <v>-2100000</v>
      </c>
      <c r="L343" s="131">
        <f>K343+J343</f>
        <v>0</v>
      </c>
      <c r="M343" s="132">
        <v>0</v>
      </c>
      <c r="N343" s="133">
        <v>0</v>
      </c>
      <c r="O343" s="113"/>
    </row>
    <row r="344" spans="2:15" ht="25.5" hidden="1">
      <c r="B344" s="134" t="s">
        <v>73</v>
      </c>
      <c r="C344" s="144" t="s">
        <v>9</v>
      </c>
      <c r="D344" s="136" t="s">
        <v>168</v>
      </c>
      <c r="E344" s="136" t="s">
        <v>168</v>
      </c>
      <c r="F344" s="136" t="s">
        <v>168</v>
      </c>
      <c r="G344" s="136" t="s">
        <v>36</v>
      </c>
      <c r="H344" s="126" t="s">
        <v>168</v>
      </c>
      <c r="I344" s="137">
        <v>200</v>
      </c>
      <c r="J344" s="131">
        <f>J345</f>
        <v>41100</v>
      </c>
      <c r="K344" s="131">
        <f>K345</f>
        <v>-41100</v>
      </c>
      <c r="L344" s="131">
        <f>L345</f>
        <v>0</v>
      </c>
      <c r="M344" s="132">
        <v>0</v>
      </c>
      <c r="N344" s="133">
        <f>N345</f>
        <v>0</v>
      </c>
      <c r="O344" s="113"/>
    </row>
    <row r="345" spans="2:15" ht="25.5" hidden="1">
      <c r="B345" s="225" t="s">
        <v>75</v>
      </c>
      <c r="C345" s="261" t="s">
        <v>9</v>
      </c>
      <c r="D345" s="262" t="s">
        <v>168</v>
      </c>
      <c r="E345" s="262" t="s">
        <v>168</v>
      </c>
      <c r="F345" s="262" t="s">
        <v>168</v>
      </c>
      <c r="G345" s="262" t="s">
        <v>36</v>
      </c>
      <c r="H345" s="204" t="s">
        <v>168</v>
      </c>
      <c r="I345" s="264">
        <v>240</v>
      </c>
      <c r="J345" s="207">
        <v>41100</v>
      </c>
      <c r="K345" s="207">
        <v>-41100</v>
      </c>
      <c r="L345" s="207">
        <f>K345+J345</f>
        <v>0</v>
      </c>
      <c r="M345" s="208">
        <v>0</v>
      </c>
      <c r="N345" s="209">
        <v>0</v>
      </c>
      <c r="O345" s="113"/>
    </row>
    <row r="346" spans="2:15" ht="12.75">
      <c r="B346" s="210"/>
      <c r="C346" s="276"/>
      <c r="D346" s="277"/>
      <c r="E346" s="277"/>
      <c r="F346" s="277"/>
      <c r="G346" s="277"/>
      <c r="H346" s="278"/>
      <c r="I346" s="177"/>
      <c r="J346" s="267"/>
      <c r="K346" s="268"/>
      <c r="L346" s="268"/>
      <c r="M346" s="269"/>
      <c r="N346" s="270"/>
      <c r="O346" s="113"/>
    </row>
    <row r="347" spans="2:15" ht="31.5">
      <c r="B347" s="114" t="s">
        <v>43</v>
      </c>
      <c r="C347" s="258" t="s">
        <v>10</v>
      </c>
      <c r="D347" s="156" t="s">
        <v>168</v>
      </c>
      <c r="E347" s="156" t="s">
        <v>168</v>
      </c>
      <c r="F347" s="156" t="s">
        <v>168</v>
      </c>
      <c r="G347" s="156" t="s">
        <v>169</v>
      </c>
      <c r="H347" s="157" t="s">
        <v>168</v>
      </c>
      <c r="I347" s="137"/>
      <c r="J347" s="110">
        <f>J351+J356+J369+J348+J361+J366</f>
        <v>62263196.63</v>
      </c>
      <c r="K347" s="111">
        <f>K351+K356+K369+K348+K361+K366</f>
        <v>0</v>
      </c>
      <c r="L347" s="111">
        <f>L351+L356+L369+L348+L361+L366</f>
        <v>86522607.65</v>
      </c>
      <c r="M347" s="112">
        <f>M351+M356+M369+M348+M361+M366</f>
        <v>86833421.28</v>
      </c>
      <c r="N347" s="119">
        <f>N351+N356+N369+N348+N361+N366</f>
        <v>87184768.22</v>
      </c>
      <c r="O347" s="113"/>
    </row>
    <row r="348" spans="2:15" ht="38.25">
      <c r="B348" s="134" t="s">
        <v>240</v>
      </c>
      <c r="C348" s="124" t="s">
        <v>10</v>
      </c>
      <c r="D348" s="126" t="s">
        <v>168</v>
      </c>
      <c r="E348" s="126" t="s">
        <v>168</v>
      </c>
      <c r="F348" s="126" t="s">
        <v>168</v>
      </c>
      <c r="G348" s="126" t="s">
        <v>238</v>
      </c>
      <c r="H348" s="128" t="s">
        <v>168</v>
      </c>
      <c r="I348" s="137"/>
      <c r="J348" s="130">
        <f aca="true" t="shared" si="58" ref="J348:N349">J349</f>
        <v>141147.63</v>
      </c>
      <c r="K348" s="131">
        <f t="shared" si="58"/>
        <v>0</v>
      </c>
      <c r="L348" s="131">
        <f t="shared" si="58"/>
        <v>2901.65</v>
      </c>
      <c r="M348" s="132">
        <f t="shared" si="58"/>
        <v>2586.48</v>
      </c>
      <c r="N348" s="133">
        <f t="shared" si="58"/>
        <v>2586.58</v>
      </c>
      <c r="O348" s="113"/>
    </row>
    <row r="349" spans="2:15" ht="25.5">
      <c r="B349" s="134" t="s">
        <v>73</v>
      </c>
      <c r="C349" s="124" t="s">
        <v>10</v>
      </c>
      <c r="D349" s="126" t="s">
        <v>168</v>
      </c>
      <c r="E349" s="126" t="s">
        <v>168</v>
      </c>
      <c r="F349" s="126" t="s">
        <v>168</v>
      </c>
      <c r="G349" s="126" t="s">
        <v>238</v>
      </c>
      <c r="H349" s="128" t="s">
        <v>168</v>
      </c>
      <c r="I349" s="137" t="s">
        <v>74</v>
      </c>
      <c r="J349" s="130">
        <f t="shared" si="58"/>
        <v>141147.63</v>
      </c>
      <c r="K349" s="131">
        <f t="shared" si="58"/>
        <v>0</v>
      </c>
      <c r="L349" s="131">
        <f t="shared" si="58"/>
        <v>2901.65</v>
      </c>
      <c r="M349" s="132">
        <f t="shared" si="58"/>
        <v>2586.48</v>
      </c>
      <c r="N349" s="133">
        <f t="shared" si="58"/>
        <v>2586.58</v>
      </c>
      <c r="O349" s="113"/>
    </row>
    <row r="350" spans="2:15" ht="25.5">
      <c r="B350" s="134" t="s">
        <v>75</v>
      </c>
      <c r="C350" s="124" t="s">
        <v>10</v>
      </c>
      <c r="D350" s="126" t="s">
        <v>168</v>
      </c>
      <c r="E350" s="126" t="s">
        <v>168</v>
      </c>
      <c r="F350" s="126" t="s">
        <v>168</v>
      </c>
      <c r="G350" s="126" t="s">
        <v>238</v>
      </c>
      <c r="H350" s="128" t="s">
        <v>168</v>
      </c>
      <c r="I350" s="137" t="s">
        <v>76</v>
      </c>
      <c r="J350" s="130">
        <v>141147.63</v>
      </c>
      <c r="K350" s="131">
        <v>0</v>
      </c>
      <c r="L350" s="138">
        <v>2901.65</v>
      </c>
      <c r="M350" s="139">
        <v>2586.48</v>
      </c>
      <c r="N350" s="140">
        <v>2586.58</v>
      </c>
      <c r="O350" s="113"/>
    </row>
    <row r="351" spans="2:15" ht="51">
      <c r="B351" s="134" t="s">
        <v>151</v>
      </c>
      <c r="C351" s="144" t="s">
        <v>10</v>
      </c>
      <c r="D351" s="136" t="s">
        <v>168</v>
      </c>
      <c r="E351" s="136" t="s">
        <v>168</v>
      </c>
      <c r="F351" s="136" t="s">
        <v>168</v>
      </c>
      <c r="G351" s="136">
        <v>7869</v>
      </c>
      <c r="H351" s="128" t="s">
        <v>168</v>
      </c>
      <c r="I351" s="137"/>
      <c r="J351" s="130">
        <f>J352+J354</f>
        <v>28000</v>
      </c>
      <c r="K351" s="131">
        <f>K352+K354</f>
        <v>0</v>
      </c>
      <c r="L351" s="131">
        <f>L352+L354</f>
        <v>21000</v>
      </c>
      <c r="M351" s="132">
        <f>M352+M354</f>
        <v>21000</v>
      </c>
      <c r="N351" s="133">
        <f>N352+N354</f>
        <v>21000</v>
      </c>
      <c r="O351" s="113"/>
    </row>
    <row r="352" spans="2:15" ht="51">
      <c r="B352" s="134" t="s">
        <v>92</v>
      </c>
      <c r="C352" s="144" t="s">
        <v>10</v>
      </c>
      <c r="D352" s="136" t="s">
        <v>168</v>
      </c>
      <c r="E352" s="136" t="s">
        <v>168</v>
      </c>
      <c r="F352" s="136" t="s">
        <v>168</v>
      </c>
      <c r="G352" s="136">
        <v>7869</v>
      </c>
      <c r="H352" s="128" t="s">
        <v>168</v>
      </c>
      <c r="I352" s="137">
        <v>100</v>
      </c>
      <c r="J352" s="130">
        <f>J353</f>
        <v>4400</v>
      </c>
      <c r="K352" s="131">
        <f>K353</f>
        <v>0</v>
      </c>
      <c r="L352" s="138">
        <f>L353</f>
        <v>8000</v>
      </c>
      <c r="M352" s="139">
        <f>M353</f>
        <v>8000</v>
      </c>
      <c r="N352" s="140">
        <f>N353</f>
        <v>8000</v>
      </c>
      <c r="O352" s="113"/>
    </row>
    <row r="353" spans="2:15" ht="25.5">
      <c r="B353" s="134" t="s">
        <v>82</v>
      </c>
      <c r="C353" s="144" t="s">
        <v>10</v>
      </c>
      <c r="D353" s="136" t="s">
        <v>168</v>
      </c>
      <c r="E353" s="136" t="s">
        <v>168</v>
      </c>
      <c r="F353" s="136" t="s">
        <v>168</v>
      </c>
      <c r="G353" s="136">
        <v>7869</v>
      </c>
      <c r="H353" s="128" t="s">
        <v>168</v>
      </c>
      <c r="I353" s="137">
        <v>120</v>
      </c>
      <c r="J353" s="130">
        <v>4400</v>
      </c>
      <c r="K353" s="131">
        <v>0</v>
      </c>
      <c r="L353" s="138">
        <v>8000</v>
      </c>
      <c r="M353" s="139">
        <v>8000</v>
      </c>
      <c r="N353" s="140">
        <v>8000</v>
      </c>
      <c r="O353" s="113"/>
    </row>
    <row r="354" spans="2:15" ht="25.5">
      <c r="B354" s="134" t="s">
        <v>73</v>
      </c>
      <c r="C354" s="144" t="s">
        <v>10</v>
      </c>
      <c r="D354" s="136" t="s">
        <v>168</v>
      </c>
      <c r="E354" s="136" t="s">
        <v>168</v>
      </c>
      <c r="F354" s="136" t="s">
        <v>168</v>
      </c>
      <c r="G354" s="136" t="s">
        <v>46</v>
      </c>
      <c r="H354" s="128" t="s">
        <v>168</v>
      </c>
      <c r="I354" s="137">
        <v>200</v>
      </c>
      <c r="J354" s="130">
        <f>J355</f>
        <v>23600</v>
      </c>
      <c r="K354" s="131">
        <f>K355</f>
        <v>0</v>
      </c>
      <c r="L354" s="138">
        <f>L355</f>
        <v>13000</v>
      </c>
      <c r="M354" s="139">
        <f>M355</f>
        <v>13000</v>
      </c>
      <c r="N354" s="140">
        <f>N355</f>
        <v>13000</v>
      </c>
      <c r="O354" s="113"/>
    </row>
    <row r="355" spans="2:15" ht="25.5">
      <c r="B355" s="134" t="s">
        <v>75</v>
      </c>
      <c r="C355" s="144" t="s">
        <v>10</v>
      </c>
      <c r="D355" s="136" t="s">
        <v>168</v>
      </c>
      <c r="E355" s="136" t="s">
        <v>168</v>
      </c>
      <c r="F355" s="136" t="s">
        <v>168</v>
      </c>
      <c r="G355" s="136" t="s">
        <v>46</v>
      </c>
      <c r="H355" s="128" t="s">
        <v>168</v>
      </c>
      <c r="I355" s="137">
        <v>240</v>
      </c>
      <c r="J355" s="130">
        <v>23600</v>
      </c>
      <c r="K355" s="131">
        <v>0</v>
      </c>
      <c r="L355" s="138">
        <v>13000</v>
      </c>
      <c r="M355" s="139">
        <v>13000</v>
      </c>
      <c r="N355" s="140">
        <v>13000</v>
      </c>
      <c r="O355" s="113"/>
    </row>
    <row r="356" spans="2:15" ht="12.75">
      <c r="B356" s="134" t="s">
        <v>158</v>
      </c>
      <c r="C356" s="144" t="s">
        <v>10</v>
      </c>
      <c r="D356" s="136" t="s">
        <v>168</v>
      </c>
      <c r="E356" s="136" t="s">
        <v>168</v>
      </c>
      <c r="F356" s="136" t="s">
        <v>168</v>
      </c>
      <c r="G356" s="136" t="s">
        <v>159</v>
      </c>
      <c r="H356" s="128" t="s">
        <v>168</v>
      </c>
      <c r="I356" s="137"/>
      <c r="J356" s="130">
        <f>J357+J359</f>
        <v>464749</v>
      </c>
      <c r="K356" s="131">
        <f>K357+K359</f>
        <v>0</v>
      </c>
      <c r="L356" s="131">
        <f>L357+L359</f>
        <v>545094.91</v>
      </c>
      <c r="M356" s="132">
        <f>M357+M359</f>
        <v>593704.14</v>
      </c>
      <c r="N356" s="133">
        <f>N357+N359</f>
        <v>671120.81</v>
      </c>
      <c r="O356" s="113"/>
    </row>
    <row r="357" spans="2:15" ht="51">
      <c r="B357" s="134" t="s">
        <v>92</v>
      </c>
      <c r="C357" s="144" t="s">
        <v>10</v>
      </c>
      <c r="D357" s="136" t="s">
        <v>168</v>
      </c>
      <c r="E357" s="136" t="s">
        <v>168</v>
      </c>
      <c r="F357" s="136" t="s">
        <v>168</v>
      </c>
      <c r="G357" s="136" t="s">
        <v>159</v>
      </c>
      <c r="H357" s="128" t="s">
        <v>168</v>
      </c>
      <c r="I357" s="137">
        <v>100</v>
      </c>
      <c r="J357" s="130">
        <f>J358</f>
        <v>402400</v>
      </c>
      <c r="K357" s="131">
        <f>K358</f>
        <v>0</v>
      </c>
      <c r="L357" s="138">
        <f>L358</f>
        <v>475813.61000000004</v>
      </c>
      <c r="M357" s="139">
        <f>M358</f>
        <v>524082.84</v>
      </c>
      <c r="N357" s="140">
        <f>N358</f>
        <v>601499.51</v>
      </c>
      <c r="O357" s="113"/>
    </row>
    <row r="358" spans="2:15" ht="25.5">
      <c r="B358" s="134" t="s">
        <v>82</v>
      </c>
      <c r="C358" s="144" t="s">
        <v>10</v>
      </c>
      <c r="D358" s="136" t="s">
        <v>168</v>
      </c>
      <c r="E358" s="136" t="s">
        <v>168</v>
      </c>
      <c r="F358" s="136" t="s">
        <v>168</v>
      </c>
      <c r="G358" s="136" t="s">
        <v>159</v>
      </c>
      <c r="H358" s="128" t="s">
        <v>168</v>
      </c>
      <c r="I358" s="137">
        <v>120</v>
      </c>
      <c r="J358" s="130">
        <v>402400</v>
      </c>
      <c r="K358" s="131">
        <v>0</v>
      </c>
      <c r="L358" s="138">
        <f>338646.4+35500+101667.21</f>
        <v>475813.61000000004</v>
      </c>
      <c r="M358" s="139">
        <f>385320.15+23000+115762.69</f>
        <v>524082.84</v>
      </c>
      <c r="N358" s="140">
        <f>435179.35+35500+130820.16</f>
        <v>601499.51</v>
      </c>
      <c r="O358" s="113"/>
    </row>
    <row r="359" spans="2:15" ht="25.5">
      <c r="B359" s="134" t="s">
        <v>73</v>
      </c>
      <c r="C359" s="144" t="s">
        <v>10</v>
      </c>
      <c r="D359" s="136" t="s">
        <v>168</v>
      </c>
      <c r="E359" s="136" t="s">
        <v>168</v>
      </c>
      <c r="F359" s="136" t="s">
        <v>168</v>
      </c>
      <c r="G359" s="136" t="s">
        <v>159</v>
      </c>
      <c r="H359" s="128" t="s">
        <v>168</v>
      </c>
      <c r="I359" s="137">
        <v>200</v>
      </c>
      <c r="J359" s="130">
        <f>J360</f>
        <v>62349</v>
      </c>
      <c r="K359" s="131">
        <f>K360</f>
        <v>0</v>
      </c>
      <c r="L359" s="138">
        <f>L360</f>
        <v>69281.3</v>
      </c>
      <c r="M359" s="139">
        <f>M360</f>
        <v>69621.3</v>
      </c>
      <c r="N359" s="140">
        <f>N360</f>
        <v>69621.3</v>
      </c>
      <c r="O359" s="113"/>
    </row>
    <row r="360" spans="2:15" ht="25.5">
      <c r="B360" s="134" t="s">
        <v>75</v>
      </c>
      <c r="C360" s="144" t="s">
        <v>10</v>
      </c>
      <c r="D360" s="136" t="s">
        <v>168</v>
      </c>
      <c r="E360" s="136" t="s">
        <v>168</v>
      </c>
      <c r="F360" s="136" t="s">
        <v>168</v>
      </c>
      <c r="G360" s="136" t="s">
        <v>159</v>
      </c>
      <c r="H360" s="128" t="s">
        <v>168</v>
      </c>
      <c r="I360" s="137">
        <v>240</v>
      </c>
      <c r="J360" s="130">
        <v>62349</v>
      </c>
      <c r="K360" s="131">
        <v>0</v>
      </c>
      <c r="L360" s="138">
        <v>69281.3</v>
      </c>
      <c r="M360" s="139">
        <v>69621.3</v>
      </c>
      <c r="N360" s="140">
        <v>69621.3</v>
      </c>
      <c r="O360" s="113"/>
    </row>
    <row r="361" spans="2:15" ht="25.5">
      <c r="B361" s="134" t="s">
        <v>33</v>
      </c>
      <c r="C361" s="144" t="s">
        <v>10</v>
      </c>
      <c r="D361" s="136" t="s">
        <v>168</v>
      </c>
      <c r="E361" s="136" t="s">
        <v>168</v>
      </c>
      <c r="F361" s="136" t="s">
        <v>168</v>
      </c>
      <c r="G361" s="136" t="s">
        <v>255</v>
      </c>
      <c r="H361" s="128" t="s">
        <v>170</v>
      </c>
      <c r="I361" s="137"/>
      <c r="J361" s="130">
        <f>J362+J364</f>
        <v>1961900</v>
      </c>
      <c r="K361" s="131">
        <f>K362+K364</f>
        <v>0</v>
      </c>
      <c r="L361" s="131">
        <f>L362+L364</f>
        <v>2259010.3899999997</v>
      </c>
      <c r="M361" s="132">
        <f>M362+M364</f>
        <v>2521529.96</v>
      </c>
      <c r="N361" s="133">
        <f>N362+N364</f>
        <v>2795460.13</v>
      </c>
      <c r="O361" s="113"/>
    </row>
    <row r="362" spans="2:15" ht="51">
      <c r="B362" s="134" t="s">
        <v>92</v>
      </c>
      <c r="C362" s="144" t="s">
        <v>10</v>
      </c>
      <c r="D362" s="136" t="s">
        <v>168</v>
      </c>
      <c r="E362" s="136" t="s">
        <v>168</v>
      </c>
      <c r="F362" s="136" t="s">
        <v>168</v>
      </c>
      <c r="G362" s="136" t="s">
        <v>255</v>
      </c>
      <c r="H362" s="128" t="s">
        <v>170</v>
      </c>
      <c r="I362" s="137">
        <v>100</v>
      </c>
      <c r="J362" s="130">
        <f>J363</f>
        <v>1879400</v>
      </c>
      <c r="K362" s="131">
        <f>K363</f>
        <v>0</v>
      </c>
      <c r="L362" s="138">
        <f>L363</f>
        <v>2179910.13</v>
      </c>
      <c r="M362" s="139">
        <f>M363</f>
        <v>2437655.3</v>
      </c>
      <c r="N362" s="140">
        <f>N363</f>
        <v>2714865.4699999997</v>
      </c>
      <c r="O362" s="113"/>
    </row>
    <row r="363" spans="2:15" ht="25.5">
      <c r="B363" s="134" t="s">
        <v>82</v>
      </c>
      <c r="C363" s="144" t="s">
        <v>10</v>
      </c>
      <c r="D363" s="136" t="s">
        <v>168</v>
      </c>
      <c r="E363" s="136" t="s">
        <v>168</v>
      </c>
      <c r="F363" s="136" t="s">
        <v>168</v>
      </c>
      <c r="G363" s="136" t="s">
        <v>255</v>
      </c>
      <c r="H363" s="128" t="s">
        <v>170</v>
      </c>
      <c r="I363" s="137">
        <v>120</v>
      </c>
      <c r="J363" s="154">
        <f>1814400+65000</f>
        <v>1879400</v>
      </c>
      <c r="K363" s="138">
        <v>0</v>
      </c>
      <c r="L363" s="138">
        <f>1664613+15000+500297.13</f>
        <v>2179910.13</v>
      </c>
      <c r="M363" s="139">
        <f>1831852+55000+550803.3</f>
        <v>2437655.3</v>
      </c>
      <c r="N363" s="140">
        <f>2075485+15000+624380.47</f>
        <v>2714865.4699999997</v>
      </c>
      <c r="O363" s="113"/>
    </row>
    <row r="364" spans="2:15" ht="25.5">
      <c r="B364" s="134" t="s">
        <v>73</v>
      </c>
      <c r="C364" s="144" t="s">
        <v>10</v>
      </c>
      <c r="D364" s="136" t="s">
        <v>168</v>
      </c>
      <c r="E364" s="136" t="s">
        <v>168</v>
      </c>
      <c r="F364" s="136" t="s">
        <v>168</v>
      </c>
      <c r="G364" s="136" t="s">
        <v>255</v>
      </c>
      <c r="H364" s="128" t="s">
        <v>170</v>
      </c>
      <c r="I364" s="137">
        <v>200</v>
      </c>
      <c r="J364" s="154">
        <f>J365</f>
        <v>82500</v>
      </c>
      <c r="K364" s="138">
        <f>K365</f>
        <v>0</v>
      </c>
      <c r="L364" s="138">
        <f>L365</f>
        <v>79100.26</v>
      </c>
      <c r="M364" s="139">
        <f>M365</f>
        <v>83874.66</v>
      </c>
      <c r="N364" s="140">
        <f>N365</f>
        <v>80594.66</v>
      </c>
      <c r="O364" s="113"/>
    </row>
    <row r="365" spans="2:15" ht="25.5">
      <c r="B365" s="134" t="s">
        <v>75</v>
      </c>
      <c r="C365" s="144" t="s">
        <v>10</v>
      </c>
      <c r="D365" s="136" t="s">
        <v>168</v>
      </c>
      <c r="E365" s="136" t="s">
        <v>168</v>
      </c>
      <c r="F365" s="136" t="s">
        <v>168</v>
      </c>
      <c r="G365" s="136" t="s">
        <v>255</v>
      </c>
      <c r="H365" s="128" t="s">
        <v>170</v>
      </c>
      <c r="I365" s="137">
        <v>240</v>
      </c>
      <c r="J365" s="154">
        <v>82500</v>
      </c>
      <c r="K365" s="138">
        <v>0</v>
      </c>
      <c r="L365" s="138">
        <v>79100.26</v>
      </c>
      <c r="M365" s="139">
        <v>83874.66</v>
      </c>
      <c r="N365" s="140">
        <v>80594.66</v>
      </c>
      <c r="O365" s="113"/>
    </row>
    <row r="366" spans="2:15" ht="25.5">
      <c r="B366" s="134" t="s">
        <v>150</v>
      </c>
      <c r="C366" s="124" t="s">
        <v>10</v>
      </c>
      <c r="D366" s="126" t="s">
        <v>168</v>
      </c>
      <c r="E366" s="126" t="s">
        <v>168</v>
      </c>
      <c r="F366" s="126" t="s">
        <v>168</v>
      </c>
      <c r="G366" s="126" t="s">
        <v>255</v>
      </c>
      <c r="H366" s="128" t="s">
        <v>167</v>
      </c>
      <c r="I366" s="137"/>
      <c r="J366" s="130">
        <f aca="true" t="shared" si="59" ref="J366:N367">J367</f>
        <v>1225000</v>
      </c>
      <c r="K366" s="131">
        <f t="shared" si="59"/>
        <v>0</v>
      </c>
      <c r="L366" s="131">
        <f t="shared" si="59"/>
        <v>1225000</v>
      </c>
      <c r="M366" s="132">
        <f t="shared" si="59"/>
        <v>1225000</v>
      </c>
      <c r="N366" s="133">
        <f t="shared" si="59"/>
        <v>1225000</v>
      </c>
      <c r="O366" s="113"/>
    </row>
    <row r="367" spans="2:15" ht="12.75">
      <c r="B367" s="134" t="s">
        <v>127</v>
      </c>
      <c r="C367" s="124" t="s">
        <v>10</v>
      </c>
      <c r="D367" s="126" t="s">
        <v>168</v>
      </c>
      <c r="E367" s="126" t="s">
        <v>168</v>
      </c>
      <c r="F367" s="126" t="s">
        <v>168</v>
      </c>
      <c r="G367" s="126" t="s">
        <v>255</v>
      </c>
      <c r="H367" s="128" t="s">
        <v>167</v>
      </c>
      <c r="I367" s="137" t="s">
        <v>140</v>
      </c>
      <c r="J367" s="130">
        <f t="shared" si="59"/>
        <v>1225000</v>
      </c>
      <c r="K367" s="131">
        <f t="shared" si="59"/>
        <v>0</v>
      </c>
      <c r="L367" s="131">
        <f t="shared" si="59"/>
        <v>1225000</v>
      </c>
      <c r="M367" s="132">
        <f t="shared" si="59"/>
        <v>1225000</v>
      </c>
      <c r="N367" s="133">
        <f t="shared" si="59"/>
        <v>1225000</v>
      </c>
      <c r="O367" s="113"/>
    </row>
    <row r="368" spans="2:15" ht="12.75">
      <c r="B368" s="134" t="s">
        <v>88</v>
      </c>
      <c r="C368" s="124" t="s">
        <v>10</v>
      </c>
      <c r="D368" s="126" t="s">
        <v>168</v>
      </c>
      <c r="E368" s="126" t="s">
        <v>168</v>
      </c>
      <c r="F368" s="126" t="s">
        <v>168</v>
      </c>
      <c r="G368" s="126" t="s">
        <v>255</v>
      </c>
      <c r="H368" s="128" t="s">
        <v>167</v>
      </c>
      <c r="I368" s="137" t="s">
        <v>89</v>
      </c>
      <c r="J368" s="130">
        <v>1225000</v>
      </c>
      <c r="K368" s="131">
        <v>0</v>
      </c>
      <c r="L368" s="138">
        <v>1225000</v>
      </c>
      <c r="M368" s="139">
        <v>1225000</v>
      </c>
      <c r="N368" s="140">
        <v>1225000</v>
      </c>
      <c r="O368" s="113"/>
    </row>
    <row r="369" spans="2:15" ht="25.5">
      <c r="B369" s="135" t="s">
        <v>40</v>
      </c>
      <c r="C369" s="144" t="s">
        <v>10</v>
      </c>
      <c r="D369" s="136" t="s">
        <v>168</v>
      </c>
      <c r="E369" s="136" t="s">
        <v>168</v>
      </c>
      <c r="F369" s="136" t="s">
        <v>168</v>
      </c>
      <c r="G369" s="136" t="s">
        <v>36</v>
      </c>
      <c r="H369" s="128" t="s">
        <v>168</v>
      </c>
      <c r="I369" s="137"/>
      <c r="J369" s="130">
        <f>J370+J372+J374</f>
        <v>58442400</v>
      </c>
      <c r="K369" s="131">
        <f>K370+K372+K374</f>
        <v>0</v>
      </c>
      <c r="L369" s="131">
        <f>L370+L372</f>
        <v>82469600.7</v>
      </c>
      <c r="M369" s="131">
        <f>M370+M372</f>
        <v>82469600.7</v>
      </c>
      <c r="N369" s="132">
        <f>N370+N372</f>
        <v>82469600.7</v>
      </c>
      <c r="O369" s="113"/>
    </row>
    <row r="370" spans="2:15" ht="51">
      <c r="B370" s="134" t="s">
        <v>92</v>
      </c>
      <c r="C370" s="144" t="s">
        <v>10</v>
      </c>
      <c r="D370" s="136" t="s">
        <v>168</v>
      </c>
      <c r="E370" s="136" t="s">
        <v>168</v>
      </c>
      <c r="F370" s="136" t="s">
        <v>168</v>
      </c>
      <c r="G370" s="136" t="s">
        <v>36</v>
      </c>
      <c r="H370" s="128" t="s">
        <v>168</v>
      </c>
      <c r="I370" s="137">
        <v>100</v>
      </c>
      <c r="J370" s="130">
        <f>J371</f>
        <v>56196500</v>
      </c>
      <c r="K370" s="131">
        <f>K371</f>
        <v>0</v>
      </c>
      <c r="L370" s="138">
        <f>L371</f>
        <v>79835600.7</v>
      </c>
      <c r="M370" s="139">
        <f>M371</f>
        <v>79835600.7</v>
      </c>
      <c r="N370" s="140">
        <f>N371</f>
        <v>79835600.7</v>
      </c>
      <c r="O370" s="113"/>
    </row>
    <row r="371" spans="2:15" ht="25.5">
      <c r="B371" s="134" t="s">
        <v>82</v>
      </c>
      <c r="C371" s="144" t="s">
        <v>10</v>
      </c>
      <c r="D371" s="136" t="s">
        <v>168</v>
      </c>
      <c r="E371" s="136" t="s">
        <v>168</v>
      </c>
      <c r="F371" s="136" t="s">
        <v>168</v>
      </c>
      <c r="G371" s="136" t="s">
        <v>36</v>
      </c>
      <c r="H371" s="128" t="s">
        <v>168</v>
      </c>
      <c r="I371" s="137">
        <v>120</v>
      </c>
      <c r="J371" s="130">
        <f>38788800+17407700</f>
        <v>56196500</v>
      </c>
      <c r="K371" s="131">
        <v>0</v>
      </c>
      <c r="L371" s="138">
        <f>24246436.05+55589164.65</f>
        <v>79835600.7</v>
      </c>
      <c r="M371" s="138">
        <f>24246436.05+55589164.65</f>
        <v>79835600.7</v>
      </c>
      <c r="N371" s="139">
        <f>24246436.05+55589164.65</f>
        <v>79835600.7</v>
      </c>
      <c r="O371" s="113"/>
    </row>
    <row r="372" spans="2:15" ht="25.5">
      <c r="B372" s="134" t="s">
        <v>73</v>
      </c>
      <c r="C372" s="144" t="s">
        <v>10</v>
      </c>
      <c r="D372" s="136" t="s">
        <v>168</v>
      </c>
      <c r="E372" s="136" t="s">
        <v>168</v>
      </c>
      <c r="F372" s="136" t="s">
        <v>168</v>
      </c>
      <c r="G372" s="136" t="s">
        <v>36</v>
      </c>
      <c r="H372" s="128" t="s">
        <v>168</v>
      </c>
      <c r="I372" s="137">
        <v>200</v>
      </c>
      <c r="J372" s="130">
        <f>J373</f>
        <v>2245900</v>
      </c>
      <c r="K372" s="131">
        <f>K373</f>
        <v>0</v>
      </c>
      <c r="L372" s="138">
        <f>L373</f>
        <v>2634000</v>
      </c>
      <c r="M372" s="139">
        <f>M373</f>
        <v>2634000</v>
      </c>
      <c r="N372" s="140">
        <f>N373</f>
        <v>2634000</v>
      </c>
      <c r="O372" s="113"/>
    </row>
    <row r="373" spans="2:15" ht="25.5">
      <c r="B373" s="134" t="s">
        <v>75</v>
      </c>
      <c r="C373" s="144" t="s">
        <v>10</v>
      </c>
      <c r="D373" s="136" t="s">
        <v>168</v>
      </c>
      <c r="E373" s="136" t="s">
        <v>168</v>
      </c>
      <c r="F373" s="136" t="s">
        <v>168</v>
      </c>
      <c r="G373" s="136" t="s">
        <v>36</v>
      </c>
      <c r="H373" s="128" t="s">
        <v>168</v>
      </c>
      <c r="I373" s="137">
        <v>240</v>
      </c>
      <c r="J373" s="130">
        <f>1753900+7000+485000</f>
        <v>2245900</v>
      </c>
      <c r="K373" s="131">
        <v>0</v>
      </c>
      <c r="L373" s="138">
        <f>485000+2149000</f>
        <v>2634000</v>
      </c>
      <c r="M373" s="138">
        <f>485000+2149000</f>
        <v>2634000</v>
      </c>
      <c r="N373" s="139">
        <f>485000+2149000</f>
        <v>2634000</v>
      </c>
      <c r="O373" s="113"/>
    </row>
    <row r="374" spans="2:15" ht="12.75" hidden="1">
      <c r="B374" s="134" t="s">
        <v>83</v>
      </c>
      <c r="C374" s="144" t="s">
        <v>10</v>
      </c>
      <c r="D374" s="136" t="s">
        <v>168</v>
      </c>
      <c r="E374" s="136" t="s">
        <v>168</v>
      </c>
      <c r="F374" s="136" t="s">
        <v>168</v>
      </c>
      <c r="G374" s="136" t="s">
        <v>36</v>
      </c>
      <c r="H374" s="128" t="s">
        <v>168</v>
      </c>
      <c r="I374" s="137">
        <v>800</v>
      </c>
      <c r="J374" s="130">
        <f>J376+J375</f>
        <v>0</v>
      </c>
      <c r="K374" s="131">
        <f>K376+K375</f>
        <v>0</v>
      </c>
      <c r="L374" s="131">
        <f>L376+L375</f>
        <v>0</v>
      </c>
      <c r="M374" s="132">
        <f>M376+M375</f>
        <v>0</v>
      </c>
      <c r="N374" s="133">
        <f>N376+N375</f>
        <v>0</v>
      </c>
      <c r="O374" s="113"/>
    </row>
    <row r="375" spans="2:15" ht="12.75" hidden="1">
      <c r="B375" s="134" t="s">
        <v>215</v>
      </c>
      <c r="C375" s="144" t="s">
        <v>10</v>
      </c>
      <c r="D375" s="136" t="s">
        <v>168</v>
      </c>
      <c r="E375" s="136" t="s">
        <v>168</v>
      </c>
      <c r="F375" s="136" t="s">
        <v>168</v>
      </c>
      <c r="G375" s="136" t="s">
        <v>36</v>
      </c>
      <c r="H375" s="128" t="s">
        <v>168</v>
      </c>
      <c r="I375" s="137" t="s">
        <v>214</v>
      </c>
      <c r="J375" s="130">
        <v>0</v>
      </c>
      <c r="K375" s="131">
        <v>0</v>
      </c>
      <c r="L375" s="131">
        <v>0</v>
      </c>
      <c r="M375" s="132">
        <v>0</v>
      </c>
      <c r="N375" s="133">
        <v>0</v>
      </c>
      <c r="O375" s="113"/>
    </row>
    <row r="376" spans="2:15" ht="20.25" customHeight="1" hidden="1">
      <c r="B376" s="134" t="s">
        <v>85</v>
      </c>
      <c r="C376" s="144" t="s">
        <v>10</v>
      </c>
      <c r="D376" s="136" t="s">
        <v>168</v>
      </c>
      <c r="E376" s="136" t="s">
        <v>168</v>
      </c>
      <c r="F376" s="136" t="s">
        <v>168</v>
      </c>
      <c r="G376" s="136" t="s">
        <v>36</v>
      </c>
      <c r="H376" s="128" t="s">
        <v>168</v>
      </c>
      <c r="I376" s="137" t="s">
        <v>86</v>
      </c>
      <c r="J376" s="130">
        <v>0</v>
      </c>
      <c r="K376" s="131">
        <v>0</v>
      </c>
      <c r="L376" s="131">
        <v>0</v>
      </c>
      <c r="M376" s="132">
        <v>0</v>
      </c>
      <c r="N376" s="133">
        <v>0</v>
      </c>
      <c r="O376" s="113"/>
    </row>
    <row r="377" spans="2:15" ht="15" customHeight="1">
      <c r="B377" s="134"/>
      <c r="C377" s="261"/>
      <c r="D377" s="262"/>
      <c r="E377" s="262"/>
      <c r="F377" s="262"/>
      <c r="G377" s="262"/>
      <c r="H377" s="229"/>
      <c r="I377" s="264"/>
      <c r="J377" s="238"/>
      <c r="K377" s="207"/>
      <c r="L377" s="207"/>
      <c r="M377" s="208"/>
      <c r="N377" s="209"/>
      <c r="O377" s="113"/>
    </row>
    <row r="378" spans="2:15" ht="12.75">
      <c r="B378" s="210"/>
      <c r="C378" s="124"/>
      <c r="D378" s="126"/>
      <c r="E378" s="126"/>
      <c r="F378" s="126"/>
      <c r="G378" s="126"/>
      <c r="H378" s="128"/>
      <c r="I378" s="266"/>
      <c r="J378" s="131"/>
      <c r="K378" s="131"/>
      <c r="L378" s="131"/>
      <c r="M378" s="132"/>
      <c r="N378" s="133"/>
      <c r="O378" s="113"/>
    </row>
    <row r="379" spans="2:15" ht="31.5">
      <c r="B379" s="114" t="s">
        <v>382</v>
      </c>
      <c r="C379" s="115" t="s">
        <v>11</v>
      </c>
      <c r="D379" s="116" t="s">
        <v>168</v>
      </c>
      <c r="E379" s="156" t="s">
        <v>168</v>
      </c>
      <c r="F379" s="156" t="s">
        <v>168</v>
      </c>
      <c r="G379" s="116" t="s">
        <v>169</v>
      </c>
      <c r="H379" s="157" t="s">
        <v>168</v>
      </c>
      <c r="I379" s="245"/>
      <c r="J379" s="111">
        <f aca="true" t="shared" si="60" ref="J379:L381">J380</f>
        <v>500000</v>
      </c>
      <c r="K379" s="111">
        <f t="shared" si="60"/>
        <v>0</v>
      </c>
      <c r="L379" s="111">
        <f t="shared" si="60"/>
        <v>100000</v>
      </c>
      <c r="M379" s="112">
        <f aca="true" t="shared" si="61" ref="M379:N381">M380</f>
        <v>0</v>
      </c>
      <c r="N379" s="119">
        <f t="shared" si="61"/>
        <v>0</v>
      </c>
      <c r="O379" s="113"/>
    </row>
    <row r="380" spans="2:15" ht="12.75">
      <c r="B380" s="134" t="s">
        <v>382</v>
      </c>
      <c r="C380" s="144" t="s">
        <v>11</v>
      </c>
      <c r="D380" s="136" t="s">
        <v>168</v>
      </c>
      <c r="E380" s="136" t="s">
        <v>168</v>
      </c>
      <c r="F380" s="136" t="s">
        <v>168</v>
      </c>
      <c r="G380" s="136" t="s">
        <v>23</v>
      </c>
      <c r="H380" s="128" t="s">
        <v>168</v>
      </c>
      <c r="I380" s="266"/>
      <c r="J380" s="131">
        <f t="shared" si="60"/>
        <v>500000</v>
      </c>
      <c r="K380" s="131">
        <f t="shared" si="60"/>
        <v>0</v>
      </c>
      <c r="L380" s="131">
        <f t="shared" si="60"/>
        <v>100000</v>
      </c>
      <c r="M380" s="132">
        <f t="shared" si="61"/>
        <v>0</v>
      </c>
      <c r="N380" s="133">
        <f t="shared" si="61"/>
        <v>0</v>
      </c>
      <c r="O380" s="113"/>
    </row>
    <row r="381" spans="2:15" ht="12.75">
      <c r="B381" s="134" t="s">
        <v>83</v>
      </c>
      <c r="C381" s="144" t="s">
        <v>11</v>
      </c>
      <c r="D381" s="136" t="s">
        <v>168</v>
      </c>
      <c r="E381" s="136" t="s">
        <v>168</v>
      </c>
      <c r="F381" s="136" t="s">
        <v>168</v>
      </c>
      <c r="G381" s="136" t="s">
        <v>23</v>
      </c>
      <c r="H381" s="128" t="s">
        <v>168</v>
      </c>
      <c r="I381" s="266" t="s">
        <v>84</v>
      </c>
      <c r="J381" s="131">
        <f t="shared" si="60"/>
        <v>500000</v>
      </c>
      <c r="K381" s="131">
        <f t="shared" si="60"/>
        <v>0</v>
      </c>
      <c r="L381" s="131">
        <f t="shared" si="60"/>
        <v>100000</v>
      </c>
      <c r="M381" s="132">
        <f t="shared" si="61"/>
        <v>0</v>
      </c>
      <c r="N381" s="133">
        <f t="shared" si="61"/>
        <v>0</v>
      </c>
      <c r="O381" s="113"/>
    </row>
    <row r="382" spans="2:15" ht="12.75">
      <c r="B382" s="225" t="s">
        <v>71</v>
      </c>
      <c r="C382" s="261" t="s">
        <v>11</v>
      </c>
      <c r="D382" s="262" t="s">
        <v>168</v>
      </c>
      <c r="E382" s="262" t="s">
        <v>168</v>
      </c>
      <c r="F382" s="262" t="s">
        <v>168</v>
      </c>
      <c r="G382" s="262" t="s">
        <v>23</v>
      </c>
      <c r="H382" s="229" t="s">
        <v>168</v>
      </c>
      <c r="I382" s="263">
        <v>870</v>
      </c>
      <c r="J382" s="207">
        <v>500000</v>
      </c>
      <c r="K382" s="207">
        <v>0</v>
      </c>
      <c r="L382" s="207">
        <v>100000</v>
      </c>
      <c r="M382" s="208">
        <v>0</v>
      </c>
      <c r="N382" s="209">
        <v>0</v>
      </c>
      <c r="O382" s="113"/>
    </row>
    <row r="383" spans="2:15" ht="12.75">
      <c r="B383" s="210"/>
      <c r="C383" s="276"/>
      <c r="D383" s="277"/>
      <c r="E383" s="277"/>
      <c r="F383" s="277"/>
      <c r="G383" s="277"/>
      <c r="H383" s="278"/>
      <c r="I383" s="177"/>
      <c r="J383" s="267"/>
      <c r="K383" s="268"/>
      <c r="L383" s="269"/>
      <c r="M383" s="269"/>
      <c r="N383" s="270"/>
      <c r="O383" s="113"/>
    </row>
    <row r="384" spans="2:15" ht="31.5">
      <c r="B384" s="311" t="s">
        <v>66</v>
      </c>
      <c r="C384" s="258" t="s">
        <v>12</v>
      </c>
      <c r="D384" s="156" t="s">
        <v>168</v>
      </c>
      <c r="E384" s="156" t="s">
        <v>168</v>
      </c>
      <c r="F384" s="156" t="s">
        <v>168</v>
      </c>
      <c r="G384" s="156" t="s">
        <v>169</v>
      </c>
      <c r="H384" s="157" t="s">
        <v>168</v>
      </c>
      <c r="I384" s="259"/>
      <c r="J384" s="110" t="e">
        <f>J392+J404+J385+#REF!</f>
        <v>#REF!</v>
      </c>
      <c r="K384" s="111" t="e">
        <f>K392+K404+K385+#REF!</f>
        <v>#REF!</v>
      </c>
      <c r="L384" s="112">
        <f>L392+L404+L385+L401</f>
        <v>25645375.79</v>
      </c>
      <c r="M384" s="111">
        <f>M392+M404+M385+M401</f>
        <v>25594003.6</v>
      </c>
      <c r="N384" s="112">
        <f>N392+N404+N385+N401</f>
        <v>21405026.13</v>
      </c>
      <c r="O384" s="113"/>
    </row>
    <row r="385" spans="2:15" ht="25.5">
      <c r="B385" s="134" t="s">
        <v>72</v>
      </c>
      <c r="C385" s="144" t="s">
        <v>12</v>
      </c>
      <c r="D385" s="136" t="s">
        <v>168</v>
      </c>
      <c r="E385" s="136" t="s">
        <v>168</v>
      </c>
      <c r="F385" s="136" t="s">
        <v>168</v>
      </c>
      <c r="G385" s="136" t="s">
        <v>21</v>
      </c>
      <c r="H385" s="128" t="s">
        <v>168</v>
      </c>
      <c r="I385" s="137"/>
      <c r="J385" s="130">
        <f>J386+J388+J390</f>
        <v>16376638.829999998</v>
      </c>
      <c r="K385" s="131">
        <f>K386+K388+K390</f>
        <v>0</v>
      </c>
      <c r="L385" s="132">
        <f>L386+L388+L390</f>
        <v>20479931.73</v>
      </c>
      <c r="M385" s="132">
        <f>M386+M388+M390</f>
        <v>20479931.73</v>
      </c>
      <c r="N385" s="133">
        <f>N386+N388+N390</f>
        <v>20479931.73</v>
      </c>
      <c r="O385" s="113"/>
    </row>
    <row r="386" spans="2:15" ht="51">
      <c r="B386" s="134" t="s">
        <v>92</v>
      </c>
      <c r="C386" s="144" t="s">
        <v>12</v>
      </c>
      <c r="D386" s="136" t="s">
        <v>168</v>
      </c>
      <c r="E386" s="136" t="s">
        <v>168</v>
      </c>
      <c r="F386" s="136" t="s">
        <v>168</v>
      </c>
      <c r="G386" s="136" t="s">
        <v>21</v>
      </c>
      <c r="H386" s="128" t="s">
        <v>168</v>
      </c>
      <c r="I386" s="137">
        <v>100</v>
      </c>
      <c r="J386" s="130">
        <f>J387</f>
        <v>10190538.37</v>
      </c>
      <c r="K386" s="131">
        <f>K387</f>
        <v>0</v>
      </c>
      <c r="L386" s="139">
        <f>L387</f>
        <v>13523454.06</v>
      </c>
      <c r="M386" s="139">
        <f>M387</f>
        <v>13523454.06</v>
      </c>
      <c r="N386" s="140">
        <f>N387</f>
        <v>13523454.06</v>
      </c>
      <c r="O386" s="113"/>
    </row>
    <row r="387" spans="2:15" ht="12.75">
      <c r="B387" s="134" t="s">
        <v>160</v>
      </c>
      <c r="C387" s="144" t="s">
        <v>12</v>
      </c>
      <c r="D387" s="136" t="s">
        <v>168</v>
      </c>
      <c r="E387" s="136" t="s">
        <v>168</v>
      </c>
      <c r="F387" s="136" t="s">
        <v>168</v>
      </c>
      <c r="G387" s="136" t="s">
        <v>21</v>
      </c>
      <c r="H387" s="128" t="s">
        <v>168</v>
      </c>
      <c r="I387" s="137" t="s">
        <v>87</v>
      </c>
      <c r="J387" s="154">
        <v>10190538.37</v>
      </c>
      <c r="K387" s="138">
        <v>0</v>
      </c>
      <c r="L387" s="139">
        <v>13523454.06</v>
      </c>
      <c r="M387" s="139">
        <v>13523454.06</v>
      </c>
      <c r="N387" s="140">
        <v>13523454.06</v>
      </c>
      <c r="O387" s="113"/>
    </row>
    <row r="388" spans="2:15" ht="25.5">
      <c r="B388" s="134" t="s">
        <v>73</v>
      </c>
      <c r="C388" s="144" t="s">
        <v>12</v>
      </c>
      <c r="D388" s="136" t="s">
        <v>168</v>
      </c>
      <c r="E388" s="136" t="s">
        <v>168</v>
      </c>
      <c r="F388" s="136" t="s">
        <v>168</v>
      </c>
      <c r="G388" s="136" t="s">
        <v>21</v>
      </c>
      <c r="H388" s="128" t="s">
        <v>168</v>
      </c>
      <c r="I388" s="137">
        <v>200</v>
      </c>
      <c r="J388" s="154">
        <f>J389</f>
        <v>6026036.46</v>
      </c>
      <c r="K388" s="138">
        <f>K389</f>
        <v>0</v>
      </c>
      <c r="L388" s="139">
        <f>L389</f>
        <v>6803766.67</v>
      </c>
      <c r="M388" s="139">
        <f>M389</f>
        <v>6803766.67</v>
      </c>
      <c r="N388" s="140">
        <f>N389</f>
        <v>6803766.67</v>
      </c>
      <c r="O388" s="113"/>
    </row>
    <row r="389" spans="2:15" ht="25.5">
      <c r="B389" s="134" t="s">
        <v>75</v>
      </c>
      <c r="C389" s="144" t="s">
        <v>12</v>
      </c>
      <c r="D389" s="136" t="s">
        <v>168</v>
      </c>
      <c r="E389" s="136" t="s">
        <v>168</v>
      </c>
      <c r="F389" s="136" t="s">
        <v>168</v>
      </c>
      <c r="G389" s="136" t="s">
        <v>21</v>
      </c>
      <c r="H389" s="128" t="s">
        <v>168</v>
      </c>
      <c r="I389" s="137">
        <v>240</v>
      </c>
      <c r="J389" s="154">
        <v>6026036.46</v>
      </c>
      <c r="K389" s="138">
        <v>0</v>
      </c>
      <c r="L389" s="139">
        <v>6803766.67</v>
      </c>
      <c r="M389" s="139">
        <v>6803766.67</v>
      </c>
      <c r="N389" s="140">
        <v>6803766.67</v>
      </c>
      <c r="O389" s="113"/>
    </row>
    <row r="390" spans="2:15" ht="12.75">
      <c r="B390" s="134" t="s">
        <v>83</v>
      </c>
      <c r="C390" s="144" t="s">
        <v>12</v>
      </c>
      <c r="D390" s="136" t="s">
        <v>168</v>
      </c>
      <c r="E390" s="136" t="s">
        <v>168</v>
      </c>
      <c r="F390" s="136" t="s">
        <v>168</v>
      </c>
      <c r="G390" s="136" t="s">
        <v>21</v>
      </c>
      <c r="H390" s="128" t="s">
        <v>168</v>
      </c>
      <c r="I390" s="137">
        <v>800</v>
      </c>
      <c r="J390" s="154">
        <f>J391</f>
        <v>160064</v>
      </c>
      <c r="K390" s="138">
        <f>K391</f>
        <v>0</v>
      </c>
      <c r="L390" s="139">
        <f>L391</f>
        <v>152711</v>
      </c>
      <c r="M390" s="139">
        <f>M391</f>
        <v>152711</v>
      </c>
      <c r="N390" s="140">
        <f>N391</f>
        <v>152711</v>
      </c>
      <c r="O390" s="113"/>
    </row>
    <row r="391" spans="2:15" ht="12.75">
      <c r="B391" s="134" t="s">
        <v>85</v>
      </c>
      <c r="C391" s="144" t="s">
        <v>12</v>
      </c>
      <c r="D391" s="136" t="s">
        <v>168</v>
      </c>
      <c r="E391" s="136" t="s">
        <v>168</v>
      </c>
      <c r="F391" s="136" t="s">
        <v>168</v>
      </c>
      <c r="G391" s="136" t="s">
        <v>21</v>
      </c>
      <c r="H391" s="128" t="s">
        <v>168</v>
      </c>
      <c r="I391" s="137">
        <v>850</v>
      </c>
      <c r="J391" s="154">
        <v>160064</v>
      </c>
      <c r="K391" s="138">
        <v>0</v>
      </c>
      <c r="L391" s="139">
        <v>152711</v>
      </c>
      <c r="M391" s="139">
        <v>152711</v>
      </c>
      <c r="N391" s="140">
        <v>152711</v>
      </c>
      <c r="O391" s="113"/>
    </row>
    <row r="392" spans="2:15" ht="25.5">
      <c r="B392" s="123" t="s">
        <v>67</v>
      </c>
      <c r="C392" s="144" t="s">
        <v>12</v>
      </c>
      <c r="D392" s="136" t="s">
        <v>168</v>
      </c>
      <c r="E392" s="136" t="s">
        <v>168</v>
      </c>
      <c r="F392" s="136" t="s">
        <v>168</v>
      </c>
      <c r="G392" s="136" t="s">
        <v>24</v>
      </c>
      <c r="H392" s="128" t="s">
        <v>168</v>
      </c>
      <c r="I392" s="137"/>
      <c r="J392" s="130">
        <f>J395+J399+J393+J397</f>
        <v>742186</v>
      </c>
      <c r="K392" s="131">
        <f>K395+K399+K393+K397</f>
        <v>0</v>
      </c>
      <c r="L392" s="132">
        <f>L395+L399+L393+L397</f>
        <v>4884574.06</v>
      </c>
      <c r="M392" s="132">
        <f>M395+M399+M393+M397</f>
        <v>4733201.87</v>
      </c>
      <c r="N392" s="133">
        <f>N395+N399+N393+N397</f>
        <v>544224.4</v>
      </c>
      <c r="O392" s="113"/>
    </row>
    <row r="393" spans="2:15" ht="51">
      <c r="B393" s="134" t="s">
        <v>92</v>
      </c>
      <c r="C393" s="124" t="s">
        <v>12</v>
      </c>
      <c r="D393" s="126" t="s">
        <v>168</v>
      </c>
      <c r="E393" s="126" t="s">
        <v>168</v>
      </c>
      <c r="F393" s="126" t="s">
        <v>168</v>
      </c>
      <c r="G393" s="126" t="s">
        <v>24</v>
      </c>
      <c r="H393" s="128" t="s">
        <v>168</v>
      </c>
      <c r="I393" s="137" t="s">
        <v>81</v>
      </c>
      <c r="J393" s="130">
        <f>J394</f>
        <v>24000</v>
      </c>
      <c r="K393" s="131">
        <f>K394</f>
        <v>0</v>
      </c>
      <c r="L393" s="139">
        <f>L394</f>
        <v>24000</v>
      </c>
      <c r="M393" s="139">
        <f>M394</f>
        <v>24000</v>
      </c>
      <c r="N393" s="140">
        <f>N394</f>
        <v>24000</v>
      </c>
      <c r="O393" s="113"/>
    </row>
    <row r="394" spans="2:15" ht="25.5">
      <c r="B394" s="134" t="s">
        <v>82</v>
      </c>
      <c r="C394" s="124" t="s">
        <v>12</v>
      </c>
      <c r="D394" s="126" t="s">
        <v>168</v>
      </c>
      <c r="E394" s="126" t="s">
        <v>168</v>
      </c>
      <c r="F394" s="126" t="s">
        <v>168</v>
      </c>
      <c r="G394" s="126" t="s">
        <v>24</v>
      </c>
      <c r="H394" s="128" t="s">
        <v>168</v>
      </c>
      <c r="I394" s="137" t="s">
        <v>212</v>
      </c>
      <c r="J394" s="154">
        <v>24000</v>
      </c>
      <c r="K394" s="138">
        <v>0</v>
      </c>
      <c r="L394" s="139">
        <v>24000</v>
      </c>
      <c r="M394" s="139">
        <v>24000</v>
      </c>
      <c r="N394" s="140">
        <v>24000</v>
      </c>
      <c r="O394" s="113"/>
    </row>
    <row r="395" spans="2:15" ht="25.5">
      <c r="B395" s="134" t="s">
        <v>73</v>
      </c>
      <c r="C395" s="124" t="s">
        <v>12</v>
      </c>
      <c r="D395" s="126" t="s">
        <v>168</v>
      </c>
      <c r="E395" s="126" t="s">
        <v>168</v>
      </c>
      <c r="F395" s="126" t="s">
        <v>168</v>
      </c>
      <c r="G395" s="126" t="s">
        <v>24</v>
      </c>
      <c r="H395" s="128" t="s">
        <v>168</v>
      </c>
      <c r="I395" s="137">
        <v>200</v>
      </c>
      <c r="J395" s="154">
        <f>J396</f>
        <v>623186</v>
      </c>
      <c r="K395" s="138">
        <f>K396</f>
        <v>0</v>
      </c>
      <c r="L395" s="139">
        <f>L396</f>
        <v>570596.6</v>
      </c>
      <c r="M395" s="139">
        <f>M396</f>
        <v>419224.4</v>
      </c>
      <c r="N395" s="140">
        <f>N396</f>
        <v>425224.4</v>
      </c>
      <c r="O395" s="113"/>
    </row>
    <row r="396" spans="2:15" ht="25.5">
      <c r="B396" s="134" t="s">
        <v>75</v>
      </c>
      <c r="C396" s="124" t="s">
        <v>12</v>
      </c>
      <c r="D396" s="126" t="s">
        <v>168</v>
      </c>
      <c r="E396" s="126" t="s">
        <v>168</v>
      </c>
      <c r="F396" s="126" t="s">
        <v>168</v>
      </c>
      <c r="G396" s="126" t="s">
        <v>24</v>
      </c>
      <c r="H396" s="128" t="s">
        <v>168</v>
      </c>
      <c r="I396" s="137">
        <v>240</v>
      </c>
      <c r="J396" s="154">
        <v>623186</v>
      </c>
      <c r="K396" s="138">
        <v>0</v>
      </c>
      <c r="L396" s="139">
        <v>570596.6</v>
      </c>
      <c r="M396" s="139">
        <v>419224.4</v>
      </c>
      <c r="N396" s="140">
        <v>425224.4</v>
      </c>
      <c r="O396" s="113"/>
    </row>
    <row r="397" spans="2:15" ht="25.5">
      <c r="B397" s="235" t="s">
        <v>188</v>
      </c>
      <c r="C397" s="124" t="s">
        <v>12</v>
      </c>
      <c r="D397" s="126" t="s">
        <v>168</v>
      </c>
      <c r="E397" s="126" t="s">
        <v>168</v>
      </c>
      <c r="F397" s="126" t="s">
        <v>168</v>
      </c>
      <c r="G397" s="126" t="s">
        <v>24</v>
      </c>
      <c r="H397" s="128" t="s">
        <v>168</v>
      </c>
      <c r="I397" s="137" t="s">
        <v>78</v>
      </c>
      <c r="J397" s="154">
        <f>J398</f>
        <v>60000</v>
      </c>
      <c r="K397" s="138">
        <f>K398</f>
        <v>0</v>
      </c>
      <c r="L397" s="139">
        <f>L398</f>
        <v>60000</v>
      </c>
      <c r="M397" s="139">
        <f>M398</f>
        <v>60000</v>
      </c>
      <c r="N397" s="140">
        <f>N398</f>
        <v>60000</v>
      </c>
      <c r="O397" s="113"/>
    </row>
    <row r="398" spans="2:15" ht="12.75">
      <c r="B398" s="134" t="s">
        <v>189</v>
      </c>
      <c r="C398" s="124" t="s">
        <v>12</v>
      </c>
      <c r="D398" s="126" t="s">
        <v>168</v>
      </c>
      <c r="E398" s="126" t="s">
        <v>168</v>
      </c>
      <c r="F398" s="126" t="s">
        <v>168</v>
      </c>
      <c r="G398" s="126" t="s">
        <v>24</v>
      </c>
      <c r="H398" s="128" t="s">
        <v>168</v>
      </c>
      <c r="I398" s="137" t="s">
        <v>187</v>
      </c>
      <c r="J398" s="154">
        <v>60000</v>
      </c>
      <c r="K398" s="138">
        <v>0</v>
      </c>
      <c r="L398" s="139">
        <v>60000</v>
      </c>
      <c r="M398" s="139">
        <v>60000</v>
      </c>
      <c r="N398" s="140">
        <v>60000</v>
      </c>
      <c r="O398" s="113"/>
    </row>
    <row r="399" spans="2:15" ht="12.75">
      <c r="B399" s="134" t="s">
        <v>83</v>
      </c>
      <c r="C399" s="124" t="s">
        <v>12</v>
      </c>
      <c r="D399" s="126" t="s">
        <v>168</v>
      </c>
      <c r="E399" s="126" t="s">
        <v>168</v>
      </c>
      <c r="F399" s="126" t="s">
        <v>168</v>
      </c>
      <c r="G399" s="126" t="s">
        <v>24</v>
      </c>
      <c r="H399" s="128" t="s">
        <v>168</v>
      </c>
      <c r="I399" s="137" t="s">
        <v>84</v>
      </c>
      <c r="J399" s="154">
        <f>J400</f>
        <v>35000</v>
      </c>
      <c r="K399" s="138">
        <f>K400</f>
        <v>0</v>
      </c>
      <c r="L399" s="139">
        <f>L400</f>
        <v>4229977.46</v>
      </c>
      <c r="M399" s="139">
        <f>M400</f>
        <v>4229977.47</v>
      </c>
      <c r="N399" s="140">
        <f>N400</f>
        <v>35000</v>
      </c>
      <c r="O399" s="113"/>
    </row>
    <row r="400" spans="2:15" ht="12.75">
      <c r="B400" s="134" t="s">
        <v>85</v>
      </c>
      <c r="C400" s="124" t="s">
        <v>12</v>
      </c>
      <c r="D400" s="126" t="s">
        <v>168</v>
      </c>
      <c r="E400" s="126" t="s">
        <v>168</v>
      </c>
      <c r="F400" s="126" t="s">
        <v>168</v>
      </c>
      <c r="G400" s="126" t="s">
        <v>24</v>
      </c>
      <c r="H400" s="128" t="s">
        <v>168</v>
      </c>
      <c r="I400" s="137" t="s">
        <v>86</v>
      </c>
      <c r="J400" s="154">
        <v>35000</v>
      </c>
      <c r="K400" s="138">
        <v>0</v>
      </c>
      <c r="L400" s="139">
        <f>35000+4194977.46</f>
        <v>4229977.46</v>
      </c>
      <c r="M400" s="139">
        <f>35000+4194977.47</f>
        <v>4229977.47</v>
      </c>
      <c r="N400" s="140">
        <v>35000</v>
      </c>
      <c r="O400" s="113"/>
    </row>
    <row r="401" spans="2:15" ht="12.75">
      <c r="B401" s="197" t="s">
        <v>243</v>
      </c>
      <c r="C401" s="124" t="s">
        <v>12</v>
      </c>
      <c r="D401" s="126" t="s">
        <v>168</v>
      </c>
      <c r="E401" s="126" t="s">
        <v>168</v>
      </c>
      <c r="F401" s="126" t="s">
        <v>168</v>
      </c>
      <c r="G401" s="126" t="s">
        <v>242</v>
      </c>
      <c r="H401" s="128" t="s">
        <v>168</v>
      </c>
      <c r="I401" s="137"/>
      <c r="J401" s="154"/>
      <c r="K401" s="138"/>
      <c r="L401" s="139">
        <f aca="true" t="shared" si="62" ref="L401:N402">L402</f>
        <v>40870</v>
      </c>
      <c r="M401" s="138">
        <f t="shared" si="62"/>
        <v>40870</v>
      </c>
      <c r="N401" s="139">
        <f t="shared" si="62"/>
        <v>40870</v>
      </c>
      <c r="O401" s="113"/>
    </row>
    <row r="402" spans="2:15" ht="12.75">
      <c r="B402" s="134" t="s">
        <v>83</v>
      </c>
      <c r="C402" s="124" t="s">
        <v>12</v>
      </c>
      <c r="D402" s="126" t="s">
        <v>168</v>
      </c>
      <c r="E402" s="126" t="s">
        <v>168</v>
      </c>
      <c r="F402" s="126" t="s">
        <v>168</v>
      </c>
      <c r="G402" s="126" t="s">
        <v>242</v>
      </c>
      <c r="H402" s="128" t="s">
        <v>168</v>
      </c>
      <c r="I402" s="137" t="s">
        <v>84</v>
      </c>
      <c r="J402" s="154"/>
      <c r="K402" s="138"/>
      <c r="L402" s="139">
        <f t="shared" si="62"/>
        <v>40870</v>
      </c>
      <c r="M402" s="138">
        <f t="shared" si="62"/>
        <v>40870</v>
      </c>
      <c r="N402" s="139">
        <f t="shared" si="62"/>
        <v>40870</v>
      </c>
      <c r="O402" s="113"/>
    </row>
    <row r="403" spans="2:15" ht="12.75">
      <c r="B403" s="134" t="s">
        <v>85</v>
      </c>
      <c r="C403" s="124" t="s">
        <v>12</v>
      </c>
      <c r="D403" s="126" t="s">
        <v>168</v>
      </c>
      <c r="E403" s="126" t="s">
        <v>168</v>
      </c>
      <c r="F403" s="126" t="s">
        <v>168</v>
      </c>
      <c r="G403" s="126" t="s">
        <v>242</v>
      </c>
      <c r="H403" s="128" t="s">
        <v>168</v>
      </c>
      <c r="I403" s="137" t="s">
        <v>86</v>
      </c>
      <c r="J403" s="154"/>
      <c r="K403" s="138"/>
      <c r="L403" s="139">
        <v>40870</v>
      </c>
      <c r="M403" s="138">
        <v>40870</v>
      </c>
      <c r="N403" s="139">
        <v>40870</v>
      </c>
      <c r="O403" s="113"/>
    </row>
    <row r="404" spans="2:15" ht="12.75">
      <c r="B404" s="123" t="s">
        <v>68</v>
      </c>
      <c r="C404" s="144" t="s">
        <v>12</v>
      </c>
      <c r="D404" s="136" t="s">
        <v>168</v>
      </c>
      <c r="E404" s="136" t="s">
        <v>168</v>
      </c>
      <c r="F404" s="136" t="s">
        <v>168</v>
      </c>
      <c r="G404" s="136" t="s">
        <v>13</v>
      </c>
      <c r="H404" s="128" t="s">
        <v>168</v>
      </c>
      <c r="I404" s="137"/>
      <c r="J404" s="130">
        <f aca="true" t="shared" si="63" ref="J404:N405">J405</f>
        <v>240000</v>
      </c>
      <c r="K404" s="131">
        <f t="shared" si="63"/>
        <v>0</v>
      </c>
      <c r="L404" s="132">
        <f t="shared" si="63"/>
        <v>240000</v>
      </c>
      <c r="M404" s="132">
        <f t="shared" si="63"/>
        <v>340000</v>
      </c>
      <c r="N404" s="133">
        <f t="shared" si="63"/>
        <v>340000</v>
      </c>
      <c r="O404" s="113"/>
    </row>
    <row r="405" spans="2:15" ht="25.5">
      <c r="B405" s="134" t="s">
        <v>73</v>
      </c>
      <c r="C405" s="144" t="s">
        <v>12</v>
      </c>
      <c r="D405" s="136" t="s">
        <v>168</v>
      </c>
      <c r="E405" s="136" t="s">
        <v>168</v>
      </c>
      <c r="F405" s="136" t="s">
        <v>168</v>
      </c>
      <c r="G405" s="136" t="s">
        <v>13</v>
      </c>
      <c r="H405" s="128" t="s">
        <v>168</v>
      </c>
      <c r="I405" s="137">
        <v>200</v>
      </c>
      <c r="J405" s="130">
        <f t="shared" si="63"/>
        <v>240000</v>
      </c>
      <c r="K405" s="131">
        <f t="shared" si="63"/>
        <v>0</v>
      </c>
      <c r="L405" s="132">
        <f t="shared" si="63"/>
        <v>240000</v>
      </c>
      <c r="M405" s="132">
        <f t="shared" si="63"/>
        <v>340000</v>
      </c>
      <c r="N405" s="133">
        <f t="shared" si="63"/>
        <v>340000</v>
      </c>
      <c r="O405" s="113"/>
    </row>
    <row r="406" spans="2:15" ht="25.5">
      <c r="B406" s="134" t="s">
        <v>75</v>
      </c>
      <c r="C406" s="144" t="s">
        <v>12</v>
      </c>
      <c r="D406" s="136" t="s">
        <v>168</v>
      </c>
      <c r="E406" s="136" t="s">
        <v>168</v>
      </c>
      <c r="F406" s="136" t="s">
        <v>168</v>
      </c>
      <c r="G406" s="136" t="s">
        <v>13</v>
      </c>
      <c r="H406" s="128" t="s">
        <v>168</v>
      </c>
      <c r="I406" s="137">
        <v>240</v>
      </c>
      <c r="J406" s="130">
        <f>120000+120000</f>
        <v>240000</v>
      </c>
      <c r="K406" s="131">
        <v>0</v>
      </c>
      <c r="L406" s="132">
        <f>60000+180000</f>
        <v>240000</v>
      </c>
      <c r="M406" s="132">
        <f>80000+260000</f>
        <v>340000</v>
      </c>
      <c r="N406" s="133">
        <f>80000+260000</f>
        <v>340000</v>
      </c>
      <c r="O406" s="113"/>
    </row>
    <row r="407" spans="2:15" ht="12.75">
      <c r="B407" s="225"/>
      <c r="C407" s="261"/>
      <c r="D407" s="262"/>
      <c r="E407" s="262"/>
      <c r="F407" s="262"/>
      <c r="G407" s="262"/>
      <c r="H407" s="229"/>
      <c r="I407" s="264"/>
      <c r="J407" s="238"/>
      <c r="K407" s="207"/>
      <c r="L407" s="208"/>
      <c r="M407" s="208"/>
      <c r="N407" s="209"/>
      <c r="O407" s="113"/>
    </row>
    <row r="408" spans="2:15" ht="16.5" customHeight="1">
      <c r="B408" s="210"/>
      <c r="C408" s="276"/>
      <c r="D408" s="277"/>
      <c r="E408" s="277"/>
      <c r="F408" s="277"/>
      <c r="G408" s="277"/>
      <c r="H408" s="278"/>
      <c r="I408" s="278"/>
      <c r="J408" s="268"/>
      <c r="K408" s="268"/>
      <c r="L408" s="268"/>
      <c r="M408" s="269"/>
      <c r="N408" s="270"/>
      <c r="O408" s="113"/>
    </row>
    <row r="409" spans="2:15" ht="31.5">
      <c r="B409" s="114" t="s">
        <v>47</v>
      </c>
      <c r="C409" s="258" t="s">
        <v>34</v>
      </c>
      <c r="D409" s="156" t="s">
        <v>168</v>
      </c>
      <c r="E409" s="156" t="s">
        <v>168</v>
      </c>
      <c r="F409" s="156" t="s">
        <v>168</v>
      </c>
      <c r="G409" s="156" t="s">
        <v>169</v>
      </c>
      <c r="H409" s="157" t="s">
        <v>168</v>
      </c>
      <c r="I409" s="297"/>
      <c r="J409" s="111">
        <f>J410</f>
        <v>1000000</v>
      </c>
      <c r="K409" s="111">
        <f>K410</f>
        <v>0</v>
      </c>
      <c r="L409" s="111">
        <f>L410</f>
        <v>200000</v>
      </c>
      <c r="M409" s="112">
        <f>M410</f>
        <v>0</v>
      </c>
      <c r="N409" s="119">
        <f>N410</f>
        <v>0</v>
      </c>
      <c r="O409" s="113"/>
    </row>
    <row r="410" spans="2:15" ht="38.25">
      <c r="B410" s="134" t="s">
        <v>296</v>
      </c>
      <c r="C410" s="144" t="s">
        <v>34</v>
      </c>
      <c r="D410" s="136" t="s">
        <v>168</v>
      </c>
      <c r="E410" s="136" t="s">
        <v>168</v>
      </c>
      <c r="F410" s="136" t="s">
        <v>168</v>
      </c>
      <c r="G410" s="136" t="s">
        <v>25</v>
      </c>
      <c r="H410" s="128" t="s">
        <v>168</v>
      </c>
      <c r="I410" s="266"/>
      <c r="J410" s="131">
        <f>J413+J411</f>
        <v>1000000</v>
      </c>
      <c r="K410" s="131">
        <f>K413+K411</f>
        <v>0</v>
      </c>
      <c r="L410" s="131">
        <f>L413+L411</f>
        <v>200000</v>
      </c>
      <c r="M410" s="132">
        <f>M413+M411</f>
        <v>0</v>
      </c>
      <c r="N410" s="133">
        <f>N413+N411</f>
        <v>0</v>
      </c>
      <c r="O410" s="113"/>
    </row>
    <row r="411" spans="2:15" ht="25.5" hidden="1">
      <c r="B411" s="134" t="s">
        <v>73</v>
      </c>
      <c r="C411" s="144" t="s">
        <v>34</v>
      </c>
      <c r="D411" s="136" t="s">
        <v>168</v>
      </c>
      <c r="E411" s="136" t="s">
        <v>168</v>
      </c>
      <c r="F411" s="136" t="s">
        <v>168</v>
      </c>
      <c r="G411" s="136" t="s">
        <v>25</v>
      </c>
      <c r="H411" s="128" t="s">
        <v>168</v>
      </c>
      <c r="I411" s="266" t="s">
        <v>74</v>
      </c>
      <c r="J411" s="131">
        <f>J412</f>
        <v>0</v>
      </c>
      <c r="K411" s="131">
        <f>K412</f>
        <v>0</v>
      </c>
      <c r="L411" s="131">
        <f>L412</f>
        <v>0</v>
      </c>
      <c r="M411" s="132">
        <f>M412</f>
        <v>0</v>
      </c>
      <c r="N411" s="133">
        <f>N412</f>
        <v>0</v>
      </c>
      <c r="O411" s="113"/>
    </row>
    <row r="412" spans="2:15" ht="25.5" hidden="1">
      <c r="B412" s="134" t="s">
        <v>75</v>
      </c>
      <c r="C412" s="144" t="s">
        <v>34</v>
      </c>
      <c r="D412" s="136" t="s">
        <v>168</v>
      </c>
      <c r="E412" s="136" t="s">
        <v>168</v>
      </c>
      <c r="F412" s="136" t="s">
        <v>168</v>
      </c>
      <c r="G412" s="136" t="s">
        <v>25</v>
      </c>
      <c r="H412" s="128" t="s">
        <v>168</v>
      </c>
      <c r="I412" s="266" t="s">
        <v>76</v>
      </c>
      <c r="J412" s="131">
        <v>0</v>
      </c>
      <c r="K412" s="131">
        <v>0</v>
      </c>
      <c r="L412" s="131">
        <v>0</v>
      </c>
      <c r="M412" s="132">
        <v>0</v>
      </c>
      <c r="N412" s="133">
        <v>0</v>
      </c>
      <c r="O412" s="113"/>
    </row>
    <row r="413" spans="2:15" ht="12.75">
      <c r="B413" s="134" t="s">
        <v>83</v>
      </c>
      <c r="C413" s="144" t="s">
        <v>34</v>
      </c>
      <c r="D413" s="136" t="s">
        <v>168</v>
      </c>
      <c r="E413" s="136" t="s">
        <v>168</v>
      </c>
      <c r="F413" s="136" t="s">
        <v>168</v>
      </c>
      <c r="G413" s="136" t="s">
        <v>25</v>
      </c>
      <c r="H413" s="128" t="s">
        <v>168</v>
      </c>
      <c r="I413" s="266" t="s">
        <v>84</v>
      </c>
      <c r="J413" s="131">
        <f>J414</f>
        <v>1000000</v>
      </c>
      <c r="K413" s="131">
        <f>K414</f>
        <v>0</v>
      </c>
      <c r="L413" s="131">
        <f>L414</f>
        <v>200000</v>
      </c>
      <c r="M413" s="132">
        <f>M414</f>
        <v>0</v>
      </c>
      <c r="N413" s="133">
        <f>N414</f>
        <v>0</v>
      </c>
      <c r="O413" s="113"/>
    </row>
    <row r="414" spans="2:15" ht="12.75">
      <c r="B414" s="134" t="s">
        <v>71</v>
      </c>
      <c r="C414" s="144" t="s">
        <v>34</v>
      </c>
      <c r="D414" s="136" t="s">
        <v>168</v>
      </c>
      <c r="E414" s="136" t="s">
        <v>168</v>
      </c>
      <c r="F414" s="136" t="s">
        <v>168</v>
      </c>
      <c r="G414" s="136" t="s">
        <v>25</v>
      </c>
      <c r="H414" s="128" t="s">
        <v>168</v>
      </c>
      <c r="I414" s="137" t="s">
        <v>252</v>
      </c>
      <c r="J414" s="130">
        <v>1000000</v>
      </c>
      <c r="K414" s="131">
        <v>0</v>
      </c>
      <c r="L414" s="131">
        <v>200000</v>
      </c>
      <c r="M414" s="132">
        <v>0</v>
      </c>
      <c r="N414" s="133">
        <v>0</v>
      </c>
      <c r="O414" s="113"/>
    </row>
    <row r="415" spans="2:15" ht="21" customHeight="1" hidden="1">
      <c r="B415" s="134"/>
      <c r="C415" s="144" t="s">
        <v>34</v>
      </c>
      <c r="D415" s="136" t="s">
        <v>168</v>
      </c>
      <c r="E415" s="136" t="s">
        <v>168</v>
      </c>
      <c r="F415" s="136" t="s">
        <v>168</v>
      </c>
      <c r="G415" s="159"/>
      <c r="H415" s="128" t="s">
        <v>168</v>
      </c>
      <c r="I415" s="201"/>
      <c r="J415" s="130"/>
      <c r="K415" s="131"/>
      <c r="L415" s="131"/>
      <c r="M415" s="132"/>
      <c r="N415" s="133"/>
      <c r="O415" s="113"/>
    </row>
    <row r="416" spans="2:15" ht="9.75" customHeight="1">
      <c r="B416" s="225"/>
      <c r="C416" s="252"/>
      <c r="D416" s="253"/>
      <c r="E416" s="204"/>
      <c r="F416" s="204"/>
      <c r="G416" s="253"/>
      <c r="H416" s="229"/>
      <c r="I416" s="168"/>
      <c r="J416" s="238"/>
      <c r="K416" s="207"/>
      <c r="L416" s="207"/>
      <c r="M416" s="208"/>
      <c r="N416" s="209"/>
      <c r="O416" s="113"/>
    </row>
    <row r="417" spans="2:15" ht="5.25" customHeight="1">
      <c r="B417" s="292"/>
      <c r="C417" s="325"/>
      <c r="D417" s="326"/>
      <c r="E417" s="314"/>
      <c r="F417" s="314"/>
      <c r="G417" s="326"/>
      <c r="H417" s="283"/>
      <c r="I417" s="327"/>
      <c r="J417" s="268"/>
      <c r="K417" s="268"/>
      <c r="L417" s="268"/>
      <c r="M417" s="269"/>
      <c r="N417" s="270"/>
      <c r="O417" s="113"/>
    </row>
    <row r="418" spans="2:15" ht="31.5">
      <c r="B418" s="114" t="s">
        <v>27</v>
      </c>
      <c r="C418" s="258" t="s">
        <v>14</v>
      </c>
      <c r="D418" s="156" t="s">
        <v>168</v>
      </c>
      <c r="E418" s="156" t="s">
        <v>168</v>
      </c>
      <c r="F418" s="156" t="s">
        <v>168</v>
      </c>
      <c r="G418" s="156" t="s">
        <v>169</v>
      </c>
      <c r="H418" s="157" t="s">
        <v>168</v>
      </c>
      <c r="I418" s="297"/>
      <c r="J418" s="111">
        <f>J436+J439+J442+J425+J431+J422+J428</f>
        <v>11888641.92</v>
      </c>
      <c r="K418" s="111">
        <f>K436+K439+K442+K425+K431+K422+K428</f>
        <v>0</v>
      </c>
      <c r="L418" s="111">
        <f>L436+L439+L442+L425+L431+L422+L428</f>
        <v>12058951.02</v>
      </c>
      <c r="M418" s="112">
        <f>M436+M439+M442+M425+M431+M422+M428</f>
        <v>13796979.030000001</v>
      </c>
      <c r="N418" s="119">
        <f>N436+N439+N442+N425+N431+N422+N428</f>
        <v>14606882.190000001</v>
      </c>
      <c r="O418" s="113"/>
    </row>
    <row r="419" spans="2:15" ht="38.25" hidden="1">
      <c r="B419" s="134" t="s">
        <v>233</v>
      </c>
      <c r="C419" s="158" t="s">
        <v>14</v>
      </c>
      <c r="D419" s="159" t="s">
        <v>168</v>
      </c>
      <c r="E419" s="126" t="s">
        <v>168</v>
      </c>
      <c r="F419" s="126" t="s">
        <v>168</v>
      </c>
      <c r="G419" s="328">
        <v>5082</v>
      </c>
      <c r="H419" s="128" t="s">
        <v>168</v>
      </c>
      <c r="I419" s="244"/>
      <c r="J419" s="131" t="e">
        <f aca="true" t="shared" si="64" ref="J419:N420">J420</f>
        <v>#REF!</v>
      </c>
      <c r="K419" s="131" t="e">
        <f t="shared" si="64"/>
        <v>#REF!</v>
      </c>
      <c r="L419" s="131" t="e">
        <f t="shared" si="64"/>
        <v>#REF!</v>
      </c>
      <c r="M419" s="132" t="e">
        <f t="shared" si="64"/>
        <v>#REF!</v>
      </c>
      <c r="N419" s="133" t="e">
        <f t="shared" si="64"/>
        <v>#REF!</v>
      </c>
      <c r="O419" s="113"/>
    </row>
    <row r="420" spans="2:15" ht="25.5" hidden="1">
      <c r="B420" s="123" t="s">
        <v>228</v>
      </c>
      <c r="C420" s="124" t="s">
        <v>14</v>
      </c>
      <c r="D420" s="159" t="s">
        <v>168</v>
      </c>
      <c r="E420" s="126" t="s">
        <v>168</v>
      </c>
      <c r="F420" s="126" t="s">
        <v>168</v>
      </c>
      <c r="G420" s="328">
        <v>5082</v>
      </c>
      <c r="H420" s="128" t="s">
        <v>168</v>
      </c>
      <c r="I420" s="244" t="s">
        <v>199</v>
      </c>
      <c r="J420" s="131" t="e">
        <f t="shared" si="64"/>
        <v>#REF!</v>
      </c>
      <c r="K420" s="131" t="e">
        <f t="shared" si="64"/>
        <v>#REF!</v>
      </c>
      <c r="L420" s="131" t="e">
        <f t="shared" si="64"/>
        <v>#REF!</v>
      </c>
      <c r="M420" s="132" t="e">
        <f t="shared" si="64"/>
        <v>#REF!</v>
      </c>
      <c r="N420" s="133" t="e">
        <f t="shared" si="64"/>
        <v>#REF!</v>
      </c>
      <c r="O420" s="113"/>
    </row>
    <row r="421" spans="2:15" ht="12.75" hidden="1">
      <c r="B421" s="197" t="s">
        <v>201</v>
      </c>
      <c r="C421" s="158" t="s">
        <v>14</v>
      </c>
      <c r="D421" s="159" t="s">
        <v>168</v>
      </c>
      <c r="E421" s="126" t="s">
        <v>168</v>
      </c>
      <c r="F421" s="126" t="s">
        <v>168</v>
      </c>
      <c r="G421" s="328">
        <v>5082</v>
      </c>
      <c r="H421" s="128" t="s">
        <v>168</v>
      </c>
      <c r="I421" s="244" t="s">
        <v>200</v>
      </c>
      <c r="J421" s="131" t="e">
        <f>#REF!+#REF!</f>
        <v>#REF!</v>
      </c>
      <c r="K421" s="131" t="e">
        <f>#REF!+#REF!</f>
        <v>#REF!</v>
      </c>
      <c r="L421" s="131" t="e">
        <f>#REF!+#REF!</f>
        <v>#REF!</v>
      </c>
      <c r="M421" s="132" t="e">
        <f>#REF!+#REF!</f>
        <v>#REF!</v>
      </c>
      <c r="N421" s="133" t="e">
        <f>#REF!+#REF!</f>
        <v>#REF!</v>
      </c>
      <c r="O421" s="113"/>
    </row>
    <row r="422" spans="2:15" ht="25.5">
      <c r="B422" s="134" t="s">
        <v>267</v>
      </c>
      <c r="C422" s="124" t="s">
        <v>14</v>
      </c>
      <c r="D422" s="126" t="s">
        <v>168</v>
      </c>
      <c r="E422" s="126" t="s">
        <v>168</v>
      </c>
      <c r="F422" s="126" t="s">
        <v>168</v>
      </c>
      <c r="G422" s="126" t="s">
        <v>266</v>
      </c>
      <c r="H422" s="128" t="s">
        <v>168</v>
      </c>
      <c r="I422" s="266"/>
      <c r="J422" s="131">
        <f aca="true" t="shared" si="65" ref="J422:N423">J423</f>
        <v>336382.86</v>
      </c>
      <c r="K422" s="131">
        <f t="shared" si="65"/>
        <v>0</v>
      </c>
      <c r="L422" s="131">
        <f t="shared" si="65"/>
        <v>356896.8</v>
      </c>
      <c r="M422" s="132">
        <f t="shared" si="65"/>
        <v>445407.21</v>
      </c>
      <c r="N422" s="133">
        <f t="shared" si="65"/>
        <v>445407.21</v>
      </c>
      <c r="O422" s="113"/>
    </row>
    <row r="423" spans="2:15" ht="12.75">
      <c r="B423" s="134" t="s">
        <v>77</v>
      </c>
      <c r="C423" s="158" t="s">
        <v>14</v>
      </c>
      <c r="D423" s="126" t="s">
        <v>168</v>
      </c>
      <c r="E423" s="126" t="s">
        <v>168</v>
      </c>
      <c r="F423" s="126" t="s">
        <v>168</v>
      </c>
      <c r="G423" s="126" t="s">
        <v>266</v>
      </c>
      <c r="H423" s="128" t="s">
        <v>168</v>
      </c>
      <c r="I423" s="266" t="s">
        <v>78</v>
      </c>
      <c r="J423" s="131">
        <f t="shared" si="65"/>
        <v>336382.86</v>
      </c>
      <c r="K423" s="131">
        <f t="shared" si="65"/>
        <v>0</v>
      </c>
      <c r="L423" s="131">
        <f t="shared" si="65"/>
        <v>356896.8</v>
      </c>
      <c r="M423" s="132">
        <f t="shared" si="65"/>
        <v>445407.21</v>
      </c>
      <c r="N423" s="133">
        <f t="shared" si="65"/>
        <v>445407.21</v>
      </c>
      <c r="O423" s="113"/>
    </row>
    <row r="424" spans="2:15" ht="25.5">
      <c r="B424" s="134" t="s">
        <v>79</v>
      </c>
      <c r="C424" s="124" t="s">
        <v>14</v>
      </c>
      <c r="D424" s="126" t="s">
        <v>168</v>
      </c>
      <c r="E424" s="126" t="s">
        <v>168</v>
      </c>
      <c r="F424" s="126" t="s">
        <v>168</v>
      </c>
      <c r="G424" s="126" t="s">
        <v>266</v>
      </c>
      <c r="H424" s="128" t="s">
        <v>168</v>
      </c>
      <c r="I424" s="266" t="s">
        <v>80</v>
      </c>
      <c r="J424" s="138">
        <v>336382.86</v>
      </c>
      <c r="K424" s="138">
        <v>0</v>
      </c>
      <c r="L424" s="138">
        <v>356896.8</v>
      </c>
      <c r="M424" s="139">
        <v>445407.21</v>
      </c>
      <c r="N424" s="140">
        <v>445407.21</v>
      </c>
      <c r="O424" s="113"/>
    </row>
    <row r="425" spans="2:15" ht="51" hidden="1">
      <c r="B425" s="134" t="s">
        <v>198</v>
      </c>
      <c r="C425" s="158" t="s">
        <v>14</v>
      </c>
      <c r="D425" s="159" t="s">
        <v>168</v>
      </c>
      <c r="E425" s="126" t="s">
        <v>168</v>
      </c>
      <c r="F425" s="126" t="s">
        <v>168</v>
      </c>
      <c r="G425" s="328">
        <v>7877</v>
      </c>
      <c r="H425" s="128" t="s">
        <v>168</v>
      </c>
      <c r="I425" s="244"/>
      <c r="J425" s="131">
        <f aca="true" t="shared" si="66" ref="J425:N426">J426</f>
        <v>0</v>
      </c>
      <c r="K425" s="131">
        <f t="shared" si="66"/>
        <v>0</v>
      </c>
      <c r="L425" s="131">
        <f t="shared" si="66"/>
        <v>0</v>
      </c>
      <c r="M425" s="132">
        <f t="shared" si="66"/>
        <v>0</v>
      </c>
      <c r="N425" s="133">
        <f t="shared" si="66"/>
        <v>0</v>
      </c>
      <c r="O425" s="113"/>
    </row>
    <row r="426" spans="2:15" ht="25.5" hidden="1">
      <c r="B426" s="123" t="s">
        <v>228</v>
      </c>
      <c r="C426" s="124" t="s">
        <v>14</v>
      </c>
      <c r="D426" s="159" t="s">
        <v>168</v>
      </c>
      <c r="E426" s="126" t="s">
        <v>168</v>
      </c>
      <c r="F426" s="126" t="s">
        <v>168</v>
      </c>
      <c r="G426" s="328">
        <v>7877</v>
      </c>
      <c r="H426" s="128" t="s">
        <v>168</v>
      </c>
      <c r="I426" s="244" t="s">
        <v>199</v>
      </c>
      <c r="J426" s="131">
        <f t="shared" si="66"/>
        <v>0</v>
      </c>
      <c r="K426" s="131">
        <f t="shared" si="66"/>
        <v>0</v>
      </c>
      <c r="L426" s="131">
        <f t="shared" si="66"/>
        <v>0</v>
      </c>
      <c r="M426" s="132">
        <f t="shared" si="66"/>
        <v>0</v>
      </c>
      <c r="N426" s="133">
        <f t="shared" si="66"/>
        <v>0</v>
      </c>
      <c r="O426" s="113"/>
    </row>
    <row r="427" spans="2:15" ht="12.75" hidden="1">
      <c r="B427" s="197" t="s">
        <v>201</v>
      </c>
      <c r="C427" s="158" t="s">
        <v>14</v>
      </c>
      <c r="D427" s="159" t="s">
        <v>168</v>
      </c>
      <c r="E427" s="126" t="s">
        <v>168</v>
      </c>
      <c r="F427" s="126" t="s">
        <v>168</v>
      </c>
      <c r="G427" s="328">
        <v>7877</v>
      </c>
      <c r="H427" s="128" t="s">
        <v>168</v>
      </c>
      <c r="I427" s="244" t="s">
        <v>200</v>
      </c>
      <c r="J427" s="131">
        <v>0</v>
      </c>
      <c r="K427" s="131">
        <v>0</v>
      </c>
      <c r="L427" s="131">
        <v>0</v>
      </c>
      <c r="M427" s="132">
        <v>0</v>
      </c>
      <c r="N427" s="133">
        <v>0</v>
      </c>
      <c r="O427" s="113"/>
    </row>
    <row r="428" spans="2:15" ht="51">
      <c r="B428" s="134" t="s">
        <v>198</v>
      </c>
      <c r="C428" s="158" t="s">
        <v>14</v>
      </c>
      <c r="D428" s="159" t="s">
        <v>168</v>
      </c>
      <c r="E428" s="126" t="s">
        <v>168</v>
      </c>
      <c r="F428" s="126" t="s">
        <v>168</v>
      </c>
      <c r="G428" s="328">
        <v>7877</v>
      </c>
      <c r="H428" s="128" t="s">
        <v>168</v>
      </c>
      <c r="I428" s="244"/>
      <c r="J428" s="131">
        <f aca="true" t="shared" si="67" ref="J428:N429">J429</f>
        <v>770417.47</v>
      </c>
      <c r="K428" s="131">
        <f t="shared" si="67"/>
        <v>0</v>
      </c>
      <c r="L428" s="131">
        <f t="shared" si="67"/>
        <v>0</v>
      </c>
      <c r="M428" s="132">
        <f t="shared" si="67"/>
        <v>871916.65</v>
      </c>
      <c r="N428" s="133">
        <f t="shared" si="67"/>
        <v>871916.65</v>
      </c>
      <c r="O428" s="113"/>
    </row>
    <row r="429" spans="2:15" ht="25.5">
      <c r="B429" s="123" t="s">
        <v>228</v>
      </c>
      <c r="C429" s="124" t="s">
        <v>14</v>
      </c>
      <c r="D429" s="159" t="s">
        <v>168</v>
      </c>
      <c r="E429" s="126" t="s">
        <v>168</v>
      </c>
      <c r="F429" s="126" t="s">
        <v>168</v>
      </c>
      <c r="G429" s="328">
        <v>7877</v>
      </c>
      <c r="H429" s="128" t="s">
        <v>168</v>
      </c>
      <c r="I429" s="244" t="s">
        <v>199</v>
      </c>
      <c r="J429" s="131">
        <f t="shared" si="67"/>
        <v>770417.47</v>
      </c>
      <c r="K429" s="131">
        <f t="shared" si="67"/>
        <v>0</v>
      </c>
      <c r="L429" s="131">
        <f t="shared" si="67"/>
        <v>0</v>
      </c>
      <c r="M429" s="132">
        <f t="shared" si="67"/>
        <v>871916.65</v>
      </c>
      <c r="N429" s="133">
        <f t="shared" si="67"/>
        <v>871916.65</v>
      </c>
      <c r="O429" s="113"/>
    </row>
    <row r="430" spans="2:15" ht="12.75">
      <c r="B430" s="197" t="s">
        <v>201</v>
      </c>
      <c r="C430" s="158" t="s">
        <v>14</v>
      </c>
      <c r="D430" s="159" t="s">
        <v>168</v>
      </c>
      <c r="E430" s="126" t="s">
        <v>168</v>
      </c>
      <c r="F430" s="126" t="s">
        <v>168</v>
      </c>
      <c r="G430" s="328">
        <v>7877</v>
      </c>
      <c r="H430" s="128" t="s">
        <v>168</v>
      </c>
      <c r="I430" s="244" t="s">
        <v>200</v>
      </c>
      <c r="J430" s="138">
        <v>770417.47</v>
      </c>
      <c r="K430" s="138">
        <v>0</v>
      </c>
      <c r="L430" s="138">
        <v>0</v>
      </c>
      <c r="M430" s="139">
        <v>871916.65</v>
      </c>
      <c r="N430" s="140">
        <v>871916.65</v>
      </c>
      <c r="O430" s="113"/>
    </row>
    <row r="431" spans="2:15" ht="25.5">
      <c r="B431" s="134" t="s">
        <v>132</v>
      </c>
      <c r="C431" s="144" t="s">
        <v>14</v>
      </c>
      <c r="D431" s="136" t="s">
        <v>168</v>
      </c>
      <c r="E431" s="136" t="s">
        <v>168</v>
      </c>
      <c r="F431" s="136" t="s">
        <v>168</v>
      </c>
      <c r="G431" s="136" t="s">
        <v>255</v>
      </c>
      <c r="H431" s="128" t="s">
        <v>166</v>
      </c>
      <c r="I431" s="266"/>
      <c r="J431" s="131">
        <f>J432+J434</f>
        <v>4544586.09</v>
      </c>
      <c r="K431" s="131">
        <f>K432+K434</f>
        <v>0</v>
      </c>
      <c r="L431" s="131">
        <f>L432+L434</f>
        <v>5372318.35</v>
      </c>
      <c r="M431" s="132">
        <f>M432+M434</f>
        <v>5790327.93</v>
      </c>
      <c r="N431" s="133">
        <f>N432+N434</f>
        <v>6600231.09</v>
      </c>
      <c r="O431" s="113"/>
    </row>
    <row r="432" spans="2:15" ht="51">
      <c r="B432" s="134" t="s">
        <v>92</v>
      </c>
      <c r="C432" s="144" t="s">
        <v>14</v>
      </c>
      <c r="D432" s="136" t="s">
        <v>168</v>
      </c>
      <c r="E432" s="136" t="s">
        <v>168</v>
      </c>
      <c r="F432" s="136" t="s">
        <v>168</v>
      </c>
      <c r="G432" s="136" t="s">
        <v>255</v>
      </c>
      <c r="H432" s="128" t="s">
        <v>166</v>
      </c>
      <c r="I432" s="266">
        <v>100</v>
      </c>
      <c r="J432" s="131">
        <f>J433</f>
        <v>4418600</v>
      </c>
      <c r="K432" s="131">
        <f>K433</f>
        <v>0</v>
      </c>
      <c r="L432" s="138">
        <f>L433</f>
        <v>5217747.88</v>
      </c>
      <c r="M432" s="139">
        <f>M433</f>
        <v>5656080.64</v>
      </c>
      <c r="N432" s="140">
        <f>N433</f>
        <v>6465985.26</v>
      </c>
      <c r="O432" s="113"/>
    </row>
    <row r="433" spans="2:15" ht="25.5">
      <c r="B433" s="134" t="s">
        <v>82</v>
      </c>
      <c r="C433" s="144" t="s">
        <v>14</v>
      </c>
      <c r="D433" s="136" t="s">
        <v>168</v>
      </c>
      <c r="E433" s="136" t="s">
        <v>168</v>
      </c>
      <c r="F433" s="136" t="s">
        <v>168</v>
      </c>
      <c r="G433" s="136" t="s">
        <v>255</v>
      </c>
      <c r="H433" s="128" t="s">
        <v>166</v>
      </c>
      <c r="I433" s="266">
        <v>120</v>
      </c>
      <c r="J433" s="138">
        <f>3287400+986800+144400</f>
        <v>4418600</v>
      </c>
      <c r="K433" s="138">
        <v>0</v>
      </c>
      <c r="L433" s="138">
        <f>3920940+115100+1181707.88</f>
        <v>5217747.88</v>
      </c>
      <c r="M433" s="139">
        <f>4313618+45790+1296672.64</f>
        <v>5656080.64</v>
      </c>
      <c r="N433" s="140">
        <f>4884428+112500+1469057.26</f>
        <v>6465985.26</v>
      </c>
      <c r="O433" s="113"/>
    </row>
    <row r="434" spans="2:15" ht="25.5">
      <c r="B434" s="134" t="s">
        <v>73</v>
      </c>
      <c r="C434" s="144" t="s">
        <v>14</v>
      </c>
      <c r="D434" s="136" t="s">
        <v>168</v>
      </c>
      <c r="E434" s="136" t="s">
        <v>168</v>
      </c>
      <c r="F434" s="136" t="s">
        <v>168</v>
      </c>
      <c r="G434" s="136" t="s">
        <v>255</v>
      </c>
      <c r="H434" s="128" t="s">
        <v>166</v>
      </c>
      <c r="I434" s="266">
        <v>200</v>
      </c>
      <c r="J434" s="138">
        <f>J435</f>
        <v>125986.09</v>
      </c>
      <c r="K434" s="138">
        <f>K435</f>
        <v>0</v>
      </c>
      <c r="L434" s="138">
        <f>L435</f>
        <v>154570.47</v>
      </c>
      <c r="M434" s="139">
        <f>M435</f>
        <v>134247.29</v>
      </c>
      <c r="N434" s="140">
        <f>N435</f>
        <v>134245.83</v>
      </c>
      <c r="O434" s="113"/>
    </row>
    <row r="435" spans="2:15" ht="25.5">
      <c r="B435" s="134" t="s">
        <v>75</v>
      </c>
      <c r="C435" s="144" t="s">
        <v>14</v>
      </c>
      <c r="D435" s="136" t="s">
        <v>168</v>
      </c>
      <c r="E435" s="136" t="s">
        <v>168</v>
      </c>
      <c r="F435" s="136" t="s">
        <v>168</v>
      </c>
      <c r="G435" s="136" t="s">
        <v>255</v>
      </c>
      <c r="H435" s="128" t="s">
        <v>166</v>
      </c>
      <c r="I435" s="266">
        <v>240</v>
      </c>
      <c r="J435" s="138">
        <v>125986.09</v>
      </c>
      <c r="K435" s="138">
        <v>0</v>
      </c>
      <c r="L435" s="138">
        <v>154570.47</v>
      </c>
      <c r="M435" s="139">
        <v>134247.29</v>
      </c>
      <c r="N435" s="140">
        <v>134245.83</v>
      </c>
      <c r="O435" s="113"/>
    </row>
    <row r="436" spans="2:15" ht="38.25" hidden="1">
      <c r="B436" s="134" t="s">
        <v>65</v>
      </c>
      <c r="C436" s="144" t="s">
        <v>14</v>
      </c>
      <c r="D436" s="136" t="s">
        <v>168</v>
      </c>
      <c r="E436" s="136" t="s">
        <v>168</v>
      </c>
      <c r="F436" s="136" t="s">
        <v>168</v>
      </c>
      <c r="G436" s="136" t="s">
        <v>93</v>
      </c>
      <c r="H436" s="128" t="s">
        <v>168</v>
      </c>
      <c r="I436" s="266"/>
      <c r="J436" s="131">
        <f aca="true" t="shared" si="68" ref="J436:N437">J437</f>
        <v>0</v>
      </c>
      <c r="K436" s="131">
        <f t="shared" si="68"/>
        <v>0</v>
      </c>
      <c r="L436" s="131">
        <f t="shared" si="68"/>
        <v>0</v>
      </c>
      <c r="M436" s="132">
        <f t="shared" si="68"/>
        <v>0</v>
      </c>
      <c r="N436" s="133">
        <f t="shared" si="68"/>
        <v>0</v>
      </c>
      <c r="O436" s="113"/>
    </row>
    <row r="437" spans="2:15" ht="12.75" hidden="1">
      <c r="B437" s="134" t="s">
        <v>77</v>
      </c>
      <c r="C437" s="255" t="s">
        <v>14</v>
      </c>
      <c r="D437" s="136" t="s">
        <v>168</v>
      </c>
      <c r="E437" s="136" t="s">
        <v>168</v>
      </c>
      <c r="F437" s="136" t="s">
        <v>168</v>
      </c>
      <c r="G437" s="136" t="s">
        <v>93</v>
      </c>
      <c r="H437" s="128" t="s">
        <v>168</v>
      </c>
      <c r="I437" s="266" t="s">
        <v>78</v>
      </c>
      <c r="J437" s="131">
        <f t="shared" si="68"/>
        <v>0</v>
      </c>
      <c r="K437" s="131">
        <f t="shared" si="68"/>
        <v>0</v>
      </c>
      <c r="L437" s="131">
        <f t="shared" si="68"/>
        <v>0</v>
      </c>
      <c r="M437" s="132">
        <f t="shared" si="68"/>
        <v>0</v>
      </c>
      <c r="N437" s="133">
        <f t="shared" si="68"/>
        <v>0</v>
      </c>
      <c r="O437" s="113"/>
    </row>
    <row r="438" spans="2:15" ht="25.5" hidden="1">
      <c r="B438" s="134" t="s">
        <v>79</v>
      </c>
      <c r="C438" s="144" t="s">
        <v>14</v>
      </c>
      <c r="D438" s="136" t="s">
        <v>168</v>
      </c>
      <c r="E438" s="136" t="s">
        <v>168</v>
      </c>
      <c r="F438" s="136" t="s">
        <v>168</v>
      </c>
      <c r="G438" s="136" t="s">
        <v>93</v>
      </c>
      <c r="H438" s="128" t="s">
        <v>168</v>
      </c>
      <c r="I438" s="266" t="s">
        <v>80</v>
      </c>
      <c r="J438" s="131">
        <v>0</v>
      </c>
      <c r="K438" s="131">
        <v>0</v>
      </c>
      <c r="L438" s="131">
        <v>0</v>
      </c>
      <c r="M438" s="132">
        <v>0</v>
      </c>
      <c r="N438" s="133">
        <v>0</v>
      </c>
      <c r="O438" s="113"/>
    </row>
    <row r="439" spans="2:15" ht="12.75">
      <c r="B439" s="134" t="s">
        <v>357</v>
      </c>
      <c r="C439" s="158" t="s">
        <v>14</v>
      </c>
      <c r="D439" s="126" t="s">
        <v>168</v>
      </c>
      <c r="E439" s="126" t="s">
        <v>168</v>
      </c>
      <c r="F439" s="126" t="s">
        <v>168</v>
      </c>
      <c r="G439" s="126" t="s">
        <v>28</v>
      </c>
      <c r="H439" s="128" t="s">
        <v>168</v>
      </c>
      <c r="I439" s="266"/>
      <c r="J439" s="131">
        <f aca="true" t="shared" si="69" ref="J439:N440">J440</f>
        <v>4654000</v>
      </c>
      <c r="K439" s="131">
        <f t="shared" si="69"/>
        <v>0</v>
      </c>
      <c r="L439" s="131">
        <f t="shared" si="69"/>
        <v>3930200</v>
      </c>
      <c r="M439" s="132">
        <f t="shared" si="69"/>
        <v>4163500</v>
      </c>
      <c r="N439" s="133">
        <f t="shared" si="69"/>
        <v>4163500</v>
      </c>
      <c r="O439" s="113"/>
    </row>
    <row r="440" spans="2:15" ht="12.75">
      <c r="B440" s="134" t="s">
        <v>77</v>
      </c>
      <c r="C440" s="124" t="s">
        <v>14</v>
      </c>
      <c r="D440" s="126" t="s">
        <v>168</v>
      </c>
      <c r="E440" s="126" t="s">
        <v>168</v>
      </c>
      <c r="F440" s="126" t="s">
        <v>168</v>
      </c>
      <c r="G440" s="126" t="s">
        <v>28</v>
      </c>
      <c r="H440" s="128" t="s">
        <v>168</v>
      </c>
      <c r="I440" s="266" t="s">
        <v>78</v>
      </c>
      <c r="J440" s="131">
        <f t="shared" si="69"/>
        <v>4654000</v>
      </c>
      <c r="K440" s="131">
        <f t="shared" si="69"/>
        <v>0</v>
      </c>
      <c r="L440" s="131">
        <f t="shared" si="69"/>
        <v>3930200</v>
      </c>
      <c r="M440" s="132">
        <f t="shared" si="69"/>
        <v>4163500</v>
      </c>
      <c r="N440" s="133">
        <f t="shared" si="69"/>
        <v>4163500</v>
      </c>
      <c r="O440" s="113"/>
    </row>
    <row r="441" spans="2:15" ht="12.75">
      <c r="B441" s="134" t="s">
        <v>320</v>
      </c>
      <c r="C441" s="158" t="s">
        <v>14</v>
      </c>
      <c r="D441" s="126" t="s">
        <v>168</v>
      </c>
      <c r="E441" s="126" t="s">
        <v>168</v>
      </c>
      <c r="F441" s="126" t="s">
        <v>168</v>
      </c>
      <c r="G441" s="126" t="s">
        <v>28</v>
      </c>
      <c r="H441" s="128" t="s">
        <v>168</v>
      </c>
      <c r="I441" s="266" t="s">
        <v>319</v>
      </c>
      <c r="J441" s="138">
        <v>4654000</v>
      </c>
      <c r="K441" s="138">
        <v>0</v>
      </c>
      <c r="L441" s="138">
        <v>3930200</v>
      </c>
      <c r="M441" s="139">
        <v>4163500</v>
      </c>
      <c r="N441" s="329">
        <v>4163500</v>
      </c>
      <c r="O441" s="113"/>
    </row>
    <row r="442" spans="2:15" ht="50.25" customHeight="1">
      <c r="B442" s="134" t="s">
        <v>233</v>
      </c>
      <c r="C442" s="255" t="s">
        <v>14</v>
      </c>
      <c r="D442" s="256" t="s">
        <v>168</v>
      </c>
      <c r="E442" s="136" t="s">
        <v>168</v>
      </c>
      <c r="F442" s="136" t="s">
        <v>168</v>
      </c>
      <c r="G442" s="328" t="s">
        <v>197</v>
      </c>
      <c r="H442" s="128" t="s">
        <v>168</v>
      </c>
      <c r="I442" s="244"/>
      <c r="J442" s="131">
        <f aca="true" t="shared" si="70" ref="J442:N443">J443</f>
        <v>1583255.5</v>
      </c>
      <c r="K442" s="131">
        <f t="shared" si="70"/>
        <v>0</v>
      </c>
      <c r="L442" s="131">
        <f t="shared" si="70"/>
        <v>2399535.87</v>
      </c>
      <c r="M442" s="132">
        <f t="shared" si="70"/>
        <v>2525827.24</v>
      </c>
      <c r="N442" s="133">
        <f t="shared" si="70"/>
        <v>2525827.24</v>
      </c>
      <c r="O442" s="113"/>
    </row>
    <row r="443" spans="2:15" ht="24.75" customHeight="1">
      <c r="B443" s="123" t="s">
        <v>228</v>
      </c>
      <c r="C443" s="144" t="s">
        <v>14</v>
      </c>
      <c r="D443" s="256" t="s">
        <v>168</v>
      </c>
      <c r="E443" s="136" t="s">
        <v>168</v>
      </c>
      <c r="F443" s="136" t="s">
        <v>168</v>
      </c>
      <c r="G443" s="328" t="s">
        <v>197</v>
      </c>
      <c r="H443" s="128" t="s">
        <v>168</v>
      </c>
      <c r="I443" s="244" t="s">
        <v>199</v>
      </c>
      <c r="J443" s="131">
        <f t="shared" si="70"/>
        <v>1583255.5</v>
      </c>
      <c r="K443" s="131">
        <f t="shared" si="70"/>
        <v>0</v>
      </c>
      <c r="L443" s="131">
        <f t="shared" si="70"/>
        <v>2399535.87</v>
      </c>
      <c r="M443" s="132">
        <f t="shared" si="70"/>
        <v>2525827.24</v>
      </c>
      <c r="N443" s="133">
        <f t="shared" si="70"/>
        <v>2525827.24</v>
      </c>
      <c r="O443" s="113"/>
    </row>
    <row r="444" spans="2:15" ht="27.75" customHeight="1">
      <c r="B444" s="164" t="s">
        <v>201</v>
      </c>
      <c r="C444" s="165" t="s">
        <v>14</v>
      </c>
      <c r="D444" s="166" t="s">
        <v>168</v>
      </c>
      <c r="E444" s="262" t="s">
        <v>168</v>
      </c>
      <c r="F444" s="262" t="s">
        <v>168</v>
      </c>
      <c r="G444" s="330" t="s">
        <v>197</v>
      </c>
      <c r="H444" s="229" t="s">
        <v>168</v>
      </c>
      <c r="I444" s="167" t="s">
        <v>200</v>
      </c>
      <c r="J444" s="289">
        <v>1583255.5</v>
      </c>
      <c r="K444" s="289">
        <v>0</v>
      </c>
      <c r="L444" s="289">
        <v>2399535.87</v>
      </c>
      <c r="M444" s="290">
        <v>2525827.24</v>
      </c>
      <c r="N444" s="291">
        <v>2525827.24</v>
      </c>
      <c r="O444" s="113"/>
    </row>
    <row r="445" spans="2:15" ht="17.25" customHeight="1" hidden="1">
      <c r="B445" s="197"/>
      <c r="C445" s="158"/>
      <c r="D445" s="159"/>
      <c r="E445" s="126"/>
      <c r="F445" s="126"/>
      <c r="G445" s="328"/>
      <c r="H445" s="128"/>
      <c r="I445" s="244"/>
      <c r="J445" s="289"/>
      <c r="K445" s="289"/>
      <c r="L445" s="289"/>
      <c r="M445" s="290"/>
      <c r="N445" s="291"/>
      <c r="O445" s="113"/>
    </row>
    <row r="446" spans="2:15" ht="27.75" customHeight="1">
      <c r="B446" s="311" t="s">
        <v>71</v>
      </c>
      <c r="C446" s="312" t="s">
        <v>360</v>
      </c>
      <c r="D446" s="163" t="s">
        <v>168</v>
      </c>
      <c r="E446" s="163" t="s">
        <v>168</v>
      </c>
      <c r="F446" s="163" t="s">
        <v>168</v>
      </c>
      <c r="G446" s="163" t="s">
        <v>169</v>
      </c>
      <c r="H446" s="157" t="s">
        <v>168</v>
      </c>
      <c r="I446" s="177"/>
      <c r="J446" s="209"/>
      <c r="K446" s="207"/>
      <c r="L446" s="331">
        <f>L450+L453+L447</f>
        <v>39000000</v>
      </c>
      <c r="M446" s="332">
        <f>M450+M453+M448</f>
        <v>0</v>
      </c>
      <c r="N446" s="333">
        <f>N450+N453+N448</f>
        <v>0</v>
      </c>
      <c r="O446" s="113"/>
    </row>
    <row r="447" spans="2:15" ht="34.5" customHeight="1">
      <c r="B447" s="197" t="s">
        <v>258</v>
      </c>
      <c r="C447" s="124" t="s">
        <v>360</v>
      </c>
      <c r="D447" s="126" t="s">
        <v>168</v>
      </c>
      <c r="E447" s="126" t="s">
        <v>168</v>
      </c>
      <c r="F447" s="126" t="s">
        <v>168</v>
      </c>
      <c r="G447" s="159" t="s">
        <v>257</v>
      </c>
      <c r="H447" s="128" t="s">
        <v>168</v>
      </c>
      <c r="I447" s="297"/>
      <c r="J447" s="209"/>
      <c r="K447" s="207"/>
      <c r="L447" s="334">
        <f aca="true" t="shared" si="71" ref="L447:N448">L448</f>
        <v>300000</v>
      </c>
      <c r="M447" s="335">
        <f t="shared" si="71"/>
        <v>0</v>
      </c>
      <c r="N447" s="336">
        <f t="shared" si="71"/>
        <v>0</v>
      </c>
      <c r="O447" s="113"/>
    </row>
    <row r="448" spans="2:15" ht="19.5" customHeight="1">
      <c r="B448" s="134" t="s">
        <v>83</v>
      </c>
      <c r="C448" s="124" t="s">
        <v>360</v>
      </c>
      <c r="D448" s="126" t="s">
        <v>168</v>
      </c>
      <c r="E448" s="126" t="s">
        <v>168</v>
      </c>
      <c r="F448" s="126" t="s">
        <v>168</v>
      </c>
      <c r="G448" s="126" t="s">
        <v>257</v>
      </c>
      <c r="H448" s="128" t="s">
        <v>168</v>
      </c>
      <c r="I448" s="266" t="s">
        <v>84</v>
      </c>
      <c r="J448" s="209"/>
      <c r="K448" s="207"/>
      <c r="L448" s="334">
        <f t="shared" si="71"/>
        <v>300000</v>
      </c>
      <c r="M448" s="335">
        <f t="shared" si="71"/>
        <v>0</v>
      </c>
      <c r="N448" s="336">
        <f t="shared" si="71"/>
        <v>0</v>
      </c>
      <c r="O448" s="113"/>
    </row>
    <row r="449" spans="2:15" ht="20.25" customHeight="1">
      <c r="B449" s="134" t="s">
        <v>71</v>
      </c>
      <c r="C449" s="124" t="s">
        <v>360</v>
      </c>
      <c r="D449" s="126" t="s">
        <v>168</v>
      </c>
      <c r="E449" s="126" t="s">
        <v>168</v>
      </c>
      <c r="F449" s="126" t="s">
        <v>168</v>
      </c>
      <c r="G449" s="126" t="s">
        <v>257</v>
      </c>
      <c r="H449" s="128" t="s">
        <v>168</v>
      </c>
      <c r="I449" s="266" t="s">
        <v>252</v>
      </c>
      <c r="J449" s="209"/>
      <c r="K449" s="207"/>
      <c r="L449" s="334">
        <v>300000</v>
      </c>
      <c r="M449" s="335">
        <v>0</v>
      </c>
      <c r="N449" s="336">
        <v>0</v>
      </c>
      <c r="O449" s="113"/>
    </row>
    <row r="450" spans="2:15" ht="34.5" customHeight="1">
      <c r="B450" s="197" t="s">
        <v>364</v>
      </c>
      <c r="C450" s="124" t="s">
        <v>360</v>
      </c>
      <c r="D450" s="126" t="s">
        <v>168</v>
      </c>
      <c r="E450" s="126" t="s">
        <v>168</v>
      </c>
      <c r="F450" s="126" t="s">
        <v>168</v>
      </c>
      <c r="G450" s="159" t="s">
        <v>361</v>
      </c>
      <c r="H450" s="128" t="s">
        <v>168</v>
      </c>
      <c r="I450" s="259"/>
      <c r="J450" s="209"/>
      <c r="K450" s="207"/>
      <c r="L450" s="334">
        <f aca="true" t="shared" si="72" ref="L450:N451">L451</f>
        <v>35700000</v>
      </c>
      <c r="M450" s="335">
        <f t="shared" si="72"/>
        <v>0</v>
      </c>
      <c r="N450" s="336">
        <f t="shared" si="72"/>
        <v>0</v>
      </c>
      <c r="O450" s="113"/>
    </row>
    <row r="451" spans="2:15" ht="23.25" customHeight="1">
      <c r="B451" s="134" t="s">
        <v>83</v>
      </c>
      <c r="C451" s="124" t="s">
        <v>360</v>
      </c>
      <c r="D451" s="126" t="s">
        <v>168</v>
      </c>
      <c r="E451" s="126" t="s">
        <v>168</v>
      </c>
      <c r="F451" s="126" t="s">
        <v>168</v>
      </c>
      <c r="G451" s="159" t="s">
        <v>361</v>
      </c>
      <c r="H451" s="128" t="s">
        <v>168</v>
      </c>
      <c r="I451" s="137" t="s">
        <v>84</v>
      </c>
      <c r="J451" s="209"/>
      <c r="K451" s="207"/>
      <c r="L451" s="334">
        <f t="shared" si="72"/>
        <v>35700000</v>
      </c>
      <c r="M451" s="335">
        <f t="shared" si="72"/>
        <v>0</v>
      </c>
      <c r="N451" s="336">
        <f t="shared" si="72"/>
        <v>0</v>
      </c>
      <c r="O451" s="113"/>
    </row>
    <row r="452" spans="2:15" ht="21" customHeight="1">
      <c r="B452" s="134" t="s">
        <v>71</v>
      </c>
      <c r="C452" s="124" t="s">
        <v>360</v>
      </c>
      <c r="D452" s="126" t="s">
        <v>168</v>
      </c>
      <c r="E452" s="126" t="s">
        <v>168</v>
      </c>
      <c r="F452" s="126" t="s">
        <v>168</v>
      </c>
      <c r="G452" s="159" t="s">
        <v>361</v>
      </c>
      <c r="H452" s="128" t="s">
        <v>168</v>
      </c>
      <c r="I452" s="137" t="s">
        <v>252</v>
      </c>
      <c r="J452" s="209"/>
      <c r="K452" s="207"/>
      <c r="L452" s="334">
        <v>35700000</v>
      </c>
      <c r="M452" s="335">
        <v>0</v>
      </c>
      <c r="N452" s="336">
        <v>0</v>
      </c>
      <c r="O452" s="113"/>
    </row>
    <row r="453" spans="2:15" ht="39.75" customHeight="1">
      <c r="B453" s="197" t="s">
        <v>365</v>
      </c>
      <c r="C453" s="124" t="s">
        <v>360</v>
      </c>
      <c r="D453" s="126" t="s">
        <v>168</v>
      </c>
      <c r="E453" s="126" t="s">
        <v>168</v>
      </c>
      <c r="F453" s="126" t="s">
        <v>168</v>
      </c>
      <c r="G453" s="159" t="s">
        <v>363</v>
      </c>
      <c r="H453" s="128" t="s">
        <v>168</v>
      </c>
      <c r="I453" s="259"/>
      <c r="J453" s="209"/>
      <c r="K453" s="207"/>
      <c r="L453" s="334">
        <f aca="true" t="shared" si="73" ref="L453:N454">L454</f>
        <v>3000000</v>
      </c>
      <c r="M453" s="335">
        <f t="shared" si="73"/>
        <v>0</v>
      </c>
      <c r="N453" s="336">
        <f t="shared" si="73"/>
        <v>0</v>
      </c>
      <c r="O453" s="113"/>
    </row>
    <row r="454" spans="2:15" ht="21.75" customHeight="1">
      <c r="B454" s="134" t="s">
        <v>83</v>
      </c>
      <c r="C454" s="124" t="s">
        <v>360</v>
      </c>
      <c r="D454" s="126" t="s">
        <v>168</v>
      </c>
      <c r="E454" s="126" t="s">
        <v>168</v>
      </c>
      <c r="F454" s="126" t="s">
        <v>168</v>
      </c>
      <c r="G454" s="159" t="s">
        <v>363</v>
      </c>
      <c r="H454" s="128" t="s">
        <v>168</v>
      </c>
      <c r="I454" s="137" t="s">
        <v>84</v>
      </c>
      <c r="J454" s="209"/>
      <c r="K454" s="207"/>
      <c r="L454" s="334">
        <f t="shared" si="73"/>
        <v>3000000</v>
      </c>
      <c r="M454" s="335">
        <f t="shared" si="73"/>
        <v>0</v>
      </c>
      <c r="N454" s="336">
        <f t="shared" si="73"/>
        <v>0</v>
      </c>
      <c r="O454" s="113"/>
    </row>
    <row r="455" spans="2:15" ht="23.25" customHeight="1">
      <c r="B455" s="225" t="s">
        <v>71</v>
      </c>
      <c r="C455" s="236" t="s">
        <v>360</v>
      </c>
      <c r="D455" s="204" t="s">
        <v>168</v>
      </c>
      <c r="E455" s="204" t="s">
        <v>168</v>
      </c>
      <c r="F455" s="204" t="s">
        <v>168</v>
      </c>
      <c r="G455" s="253" t="s">
        <v>363</v>
      </c>
      <c r="H455" s="229" t="s">
        <v>168</v>
      </c>
      <c r="I455" s="264" t="s">
        <v>252</v>
      </c>
      <c r="J455" s="209"/>
      <c r="K455" s="207"/>
      <c r="L455" s="337">
        <v>3000000</v>
      </c>
      <c r="M455" s="338">
        <v>0</v>
      </c>
      <c r="N455" s="339">
        <v>0</v>
      </c>
      <c r="O455" s="113"/>
    </row>
    <row r="456" spans="2:15" ht="24.75" customHeight="1">
      <c r="B456" s="340" t="s">
        <v>321</v>
      </c>
      <c r="C456" s="165"/>
      <c r="D456" s="166"/>
      <c r="E456" s="262"/>
      <c r="F456" s="262"/>
      <c r="G456" s="330"/>
      <c r="H456" s="204"/>
      <c r="I456" s="168"/>
      <c r="J456" s="209"/>
      <c r="K456" s="207"/>
      <c r="L456" s="207"/>
      <c r="M456" s="341">
        <f>'Ведомственная структура'!O597</f>
        <v>36535840.83</v>
      </c>
      <c r="N456" s="342">
        <f>'Ведомственная структура'!P597</f>
        <v>52353627.07</v>
      </c>
      <c r="O456" s="113"/>
    </row>
    <row r="457" spans="2:15" ht="36.75" customHeight="1">
      <c r="B457" s="343" t="s">
        <v>35</v>
      </c>
      <c r="C457" s="579"/>
      <c r="D457" s="580"/>
      <c r="E457" s="580"/>
      <c r="F457" s="580"/>
      <c r="G457" s="580"/>
      <c r="H457" s="580"/>
      <c r="I457" s="580"/>
      <c r="J457" s="344" t="e">
        <f>J308+J12</f>
        <v>#REF!</v>
      </c>
      <c r="K457" s="345" t="e">
        <f>K308+K12</f>
        <v>#REF!</v>
      </c>
      <c r="L457" s="345">
        <f>L308+L12</f>
        <v>1658699885.8</v>
      </c>
      <c r="M457" s="344">
        <f>M308+M12+M456</f>
        <v>1644809760.1100001</v>
      </c>
      <c r="N457" s="346">
        <f>N308+N12+N456</f>
        <v>1694383479.7499998</v>
      </c>
      <c r="O457" s="113"/>
    </row>
    <row r="461" spans="1:14" ht="12.75">
      <c r="A461" s="77"/>
      <c r="J461" s="348"/>
      <c r="K461" s="348"/>
      <c r="L461" s="349"/>
      <c r="M461" s="349"/>
      <c r="N461" s="349"/>
    </row>
    <row r="462" spans="12:14" ht="12.75">
      <c r="L462" s="113"/>
      <c r="M462" s="113"/>
      <c r="N462" s="113"/>
    </row>
    <row r="463" spans="12:14" ht="12.75">
      <c r="L463" s="113"/>
      <c r="M463" s="113"/>
      <c r="N463" s="113"/>
    </row>
    <row r="464" spans="12:14" ht="12.75">
      <c r="L464" s="113"/>
      <c r="M464" s="113"/>
      <c r="N464" s="113"/>
    </row>
    <row r="465" spans="9:15" ht="12.75">
      <c r="I465" s="350"/>
      <c r="J465" s="351"/>
      <c r="K465" s="351"/>
      <c r="L465" s="351"/>
      <c r="M465" s="351"/>
      <c r="N465" s="351"/>
      <c r="O465" s="351"/>
    </row>
    <row r="466" spans="9:15" ht="12.75">
      <c r="I466" s="350"/>
      <c r="J466" s="351"/>
      <c r="K466" s="351"/>
      <c r="L466" s="130"/>
      <c r="M466" s="130"/>
      <c r="N466" s="130"/>
      <c r="O466" s="351"/>
    </row>
  </sheetData>
  <sheetProtection/>
  <protectedRanges>
    <protectedRange sqref="B76" name="Диапазон1_3_2"/>
    <protectedRange sqref="B165" name="Диапазон1_2_1"/>
    <protectedRange sqref="B86" name="Диапазон1_3"/>
  </protectedRanges>
  <mergeCells count="10">
    <mergeCell ref="B6:N6"/>
    <mergeCell ref="J2:N2"/>
    <mergeCell ref="J3:N3"/>
    <mergeCell ref="J4:N4"/>
    <mergeCell ref="C457:I457"/>
    <mergeCell ref="C10:H10"/>
    <mergeCell ref="J8:N8"/>
    <mergeCell ref="C8:H9"/>
    <mergeCell ref="B8:B9"/>
    <mergeCell ref="I8:I9"/>
  </mergeCells>
  <printOptions/>
  <pageMargins left="0.7480314960629921" right="0.5905511811023623" top="0.31496062992125984" bottom="0.3937007874015748" header="0.31496062992125984" footer="0.5118110236220472"/>
  <pageSetup horizontalDpi="600" verticalDpi="600" orientation="portrait" paperSize="9" scale="60" r:id="rId2"/>
  <headerFooter alignWithMargins="0">
    <oddFooter>&amp;C&amp;P</oddFooter>
  </headerFooter>
  <colBreaks count="1" manualBreakCount="1">
    <brk id="20" min="1" max="45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Ольга Балашова</cp:lastModifiedBy>
  <cp:lastPrinted>2022-11-15T09:44:07Z</cp:lastPrinted>
  <dcterms:created xsi:type="dcterms:W3CDTF">1996-10-08T23:32:33Z</dcterms:created>
  <dcterms:modified xsi:type="dcterms:W3CDTF">2022-11-15T09:44:10Z</dcterms:modified>
  <cp:category/>
  <cp:version/>
  <cp:contentType/>
  <cp:contentStatus/>
</cp:coreProperties>
</file>