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11355" windowHeight="5640" firstSheet="1" activeTab="2"/>
  </bookViews>
  <sheets>
    <sheet name="Дотация выравн 2022г. (рубл.)" sheetId="1" r:id="rId1"/>
    <sheet name="Дотация выравн 2023г. (рубл.)" sheetId="2" r:id="rId2"/>
    <sheet name="Дотация выравн 2024г. (рубл.)" sheetId="3" r:id="rId3"/>
  </sheets>
  <definedNames/>
  <calcPr fullCalcOnLoad="1"/>
</workbook>
</file>

<file path=xl/sharedStrings.xml><?xml version="1.0" encoding="utf-8"?>
<sst xmlns="http://schemas.openxmlformats.org/spreadsheetml/2006/main" count="96" uniqueCount="33">
  <si>
    <t xml:space="preserve">         НАИМЕНОВАНИЕ  ПОКАЗАТЕЛЕЙ            </t>
  </si>
  <si>
    <t xml:space="preserve"> ИТОГО </t>
  </si>
  <si>
    <t>Распределение дотаций</t>
  </si>
  <si>
    <t>МО НЮХЧЕНСКОЕ</t>
  </si>
  <si>
    <t>МО СОСНОВСКОЕ</t>
  </si>
  <si>
    <t>МО СУРСКОЕ</t>
  </si>
  <si>
    <t>МО ЛАВЕЛЬСКОЕ</t>
  </si>
  <si>
    <t>МО ВЕРКОЛЬСКОЕ</t>
  </si>
  <si>
    <t>МО КУШКОПАЛЬСКОЕ</t>
  </si>
  <si>
    <t>МО КЕВРОЛЬСКОЕ</t>
  </si>
  <si>
    <t>МО КАРПОГОРСКОЕ</t>
  </si>
  <si>
    <t>МО ПОКШЕНЬГСКОЕ</t>
  </si>
  <si>
    <t>МО МЕЖДУРЕЧЕНСКОЕ</t>
  </si>
  <si>
    <t>МО ШИЛЕГСКОЕ</t>
  </si>
  <si>
    <t>МО СИЙСКОЕ</t>
  </si>
  <si>
    <t>МО ПИРИНЕМСКОЕ</t>
  </si>
  <si>
    <t>МО ПИНЕЖСКОЕ</t>
  </si>
  <si>
    <t>НАЛОГОВЫЕ ДОХОДЫ</t>
  </si>
  <si>
    <t>Среднедушевые налоговые доходы</t>
  </si>
  <si>
    <t>Индекс налогового потенциала</t>
  </si>
  <si>
    <t>Индекс бюджетных расходов</t>
  </si>
  <si>
    <t>Бюджетная обеспеченность</t>
  </si>
  <si>
    <t>Критерий выравнивания</t>
  </si>
  <si>
    <t>Потребность в средствах для доведения бюджетной обеспеченности до критерия выравнивания</t>
  </si>
  <si>
    <t>Расчет дотаций</t>
  </si>
  <si>
    <t>БО после выравнивания</t>
  </si>
  <si>
    <t>Критерий выравнивания финансовых возможностей на 1 жителя</t>
  </si>
  <si>
    <t>Распределение дотаций исходя из численности жителей</t>
  </si>
  <si>
    <t>Распределение дотаций исходя из бюджетной обеспеченности</t>
  </si>
  <si>
    <t>Численность населения на 01.01.2021, .чел</t>
  </si>
  <si>
    <r>
      <t xml:space="preserve">  РАСПРЕДЕЛЕНИЕ  ДОТАЦИЙ  НА  ВЫРАВНИВАНИЕ  БЮДЖЕТНОЙ  ОБЕСПЕЧЕННОСТИ  ПОСЕЛЕНИЙ  НА  </t>
    </r>
    <r>
      <rPr>
        <b/>
        <sz val="14"/>
        <rFont val="Arial Cyr"/>
        <family val="2"/>
      </rPr>
      <t>2022</t>
    </r>
    <r>
      <rPr>
        <b/>
        <sz val="12"/>
        <rFont val="Arial Cyr"/>
        <family val="2"/>
      </rPr>
      <t xml:space="preserve"> ГОД, рублей  </t>
    </r>
  </si>
  <si>
    <r>
      <t xml:space="preserve">  РАСПРЕДЕЛЕНИЕ  ДОТАЦИЙ  НА  ВЫРАВНИВАНИЕ  БЮДЖЕТНОЙ  ОБЕСПЕЧЕННОСТИ  ПОСЕЛЕНИЙ  НА  </t>
    </r>
    <r>
      <rPr>
        <b/>
        <sz val="14"/>
        <rFont val="Arial Cyr"/>
        <family val="2"/>
      </rPr>
      <t>2023</t>
    </r>
    <r>
      <rPr>
        <b/>
        <sz val="12"/>
        <rFont val="Arial Cyr"/>
        <family val="2"/>
      </rPr>
      <t xml:space="preserve"> ГОД, рублей  </t>
    </r>
  </si>
  <si>
    <r>
      <t xml:space="preserve">  РАСПРЕДЕЛЕНИЕ  ДОТАЦИЙ  НА  ВЫРАВНИВАНИЕ  БЮДЖЕТНОЙ  ОБЕСПЕЧЕННОСТИ  ПОСЕЛЕНИЙ  НА  </t>
    </r>
    <r>
      <rPr>
        <b/>
        <sz val="14"/>
        <rFont val="Arial Cyr"/>
        <family val="2"/>
      </rPr>
      <t>2024</t>
    </r>
    <r>
      <rPr>
        <b/>
        <sz val="12"/>
        <rFont val="Arial Cyr"/>
        <family val="2"/>
      </rPr>
      <t xml:space="preserve"> ГОД, рублей  </t>
    </r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</si>
</sst>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"/>
    <numFmt numFmtId="174" formatCode="0.0%"/>
    <numFmt numFmtId="175" formatCode="#,##0.000"/>
    <numFmt numFmtId="176" formatCode="_-* #,##0.00_р_._-;\-* #,##0.00_р_._-;_-* &quot;-&quot;?_р_._-;_-@_-"/>
    <numFmt numFmtId="177" formatCode="_-* #,##0.0_р_._-;\-* #,##0.0_р_._-;_-* &quot;-&quot;??_р_._-;_-@_-"/>
    <numFmt numFmtId="178" formatCode="_-* #,##0.000_р_._-;\-* #,##0.000_р_._-;_-* &quot;-&quot;??_р_._-;_-@_-"/>
    <numFmt numFmtId="179" formatCode="#,##0.000_ ;\-#,##0.000\ "/>
    <numFmt numFmtId="180" formatCode="_-* #,##0_р_._-;\-* #,##0_р_._-;_-* &quot;-&quot;??_р_._-;_-@_-"/>
    <numFmt numFmtId="181" formatCode="_-* #,##0.000_р_._-;\-* #,##0.000_р_._-;_-* &quot;-&quot;???_р_._-;_-@_-"/>
    <numFmt numFmtId="182" formatCode="_-* #,##0.00_р_._-;\-* #,##0.00_р_._-;_-* &quot;-&quot;???_р_._-;_-@_-"/>
    <numFmt numFmtId="183" formatCode="_-* #,##0_р_._-;\-* #,##0_р_._-;_-* &quot;-&quot;???_р_._-;_-@_-"/>
    <numFmt numFmtId="184" formatCode="000"/>
    <numFmt numFmtId="185" formatCode="0000"/>
    <numFmt numFmtId="186" formatCode="0000000"/>
    <numFmt numFmtId="187" formatCode="_-* #,##0.0000_р_._-;\-* #,##0.0000_р_._-;_-* &quot;-&quot;??_р_._-;_-@_-"/>
    <numFmt numFmtId="188" formatCode="#,##0.0000"/>
    <numFmt numFmtId="189" formatCode="0.000%"/>
    <numFmt numFmtId="190" formatCode="0.0000%"/>
    <numFmt numFmtId="191" formatCode="0.00000%"/>
    <numFmt numFmtId="192" formatCode="0.000000%"/>
    <numFmt numFmtId="193" formatCode="0.0000000%"/>
    <numFmt numFmtId="194" formatCode="_-* #,##0.0_р_._-;\-* #,##0.0_р_._-;_-* &quot;-&quot;???_р_._-;_-@_-"/>
    <numFmt numFmtId="195" formatCode="0.0"/>
    <numFmt numFmtId="196" formatCode="#,##0.00&quot;р.&quot;"/>
    <numFmt numFmtId="197" formatCode="0.000000"/>
    <numFmt numFmtId="198" formatCode="0.00000"/>
    <numFmt numFmtId="199" formatCode="0.0000"/>
    <numFmt numFmtId="200" formatCode="0.00000000"/>
    <numFmt numFmtId="201" formatCode="0.0000000"/>
    <numFmt numFmtId="202" formatCode="_-* #,##0.00000_р_._-;\-* #,##0.00000_р_._-;_-* &quot;-&quot;??_р_._-;_-@_-"/>
    <numFmt numFmtId="203" formatCode="_-* #,##0.000000_р_._-;\-* #,##0.000000_р_._-;_-* &quot;-&quot;??_р_._-;_-@_-"/>
    <numFmt numFmtId="204" formatCode="_-* #,##0.0_р_._-;\-* #,##0.0_р_._-;_-* &quot;-&quot;?_р_._-;_-@_-"/>
    <numFmt numFmtId="205" formatCode="#,##0.00_ ;\-#,##0.00\ "/>
    <numFmt numFmtId="206" formatCode="#,##0.00000"/>
    <numFmt numFmtId="207" formatCode="#,##0.0_ ;\-#,##0.0\ "/>
    <numFmt numFmtId="208" formatCode="[$-FC19]d\ mmmm\ yyyy\ &quot;г.&quot;"/>
    <numFmt numFmtId="209" formatCode="_-* #,##0.00000_р_._-;\-* #,##0.00000_р_._-;_-* &quot;-&quot;?????_р_._-;_-@_-"/>
    <numFmt numFmtId="210" formatCode="#,##0_ ;\-#,##0\ 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b/>
      <sz val="12"/>
      <name val="Arial Cyr"/>
      <family val="2"/>
    </font>
    <font>
      <sz val="7"/>
      <name val="Arial Cyr"/>
      <family val="2"/>
    </font>
    <font>
      <sz val="7"/>
      <name val="Times New Roman Cyr"/>
      <family val="1"/>
    </font>
    <font>
      <sz val="8"/>
      <name val="Times New Roman Cyr"/>
      <family val="1"/>
    </font>
    <font>
      <sz val="6"/>
      <name val="Times New Roman Cyr"/>
      <family val="1"/>
    </font>
    <font>
      <sz val="11"/>
      <name val="Arial Cyr"/>
      <family val="2"/>
    </font>
    <font>
      <b/>
      <sz val="11"/>
      <name val="Arial Cyr"/>
      <family val="0"/>
    </font>
    <font>
      <sz val="12"/>
      <name val="Arial Cyr"/>
      <family val="0"/>
    </font>
    <font>
      <sz val="12"/>
      <name val="Times New Roman Cyr"/>
      <family val="1"/>
    </font>
    <font>
      <b/>
      <sz val="13"/>
      <name val="Arial Cyr"/>
      <family val="0"/>
    </font>
    <font>
      <sz val="10"/>
      <color indexed="9"/>
      <name val="Arial Cyr"/>
      <family val="2"/>
    </font>
    <font>
      <sz val="12"/>
      <color indexed="9"/>
      <name val="Arial Cyr"/>
      <family val="0"/>
    </font>
    <font>
      <i/>
      <sz val="12"/>
      <name val="Arial Cyr"/>
      <family val="2"/>
    </font>
    <font>
      <b/>
      <sz val="12"/>
      <color indexed="12"/>
      <name val="Arial Cyr"/>
      <family val="2"/>
    </font>
    <font>
      <b/>
      <i/>
      <sz val="10"/>
      <name val="Arial CYR"/>
      <family val="2"/>
    </font>
    <font>
      <b/>
      <i/>
      <sz val="12"/>
      <name val="Arial Cyr"/>
      <family val="2"/>
    </font>
    <font>
      <sz val="9"/>
      <name val="Arial CYR"/>
      <family val="0"/>
    </font>
    <font>
      <b/>
      <sz val="10"/>
      <name val="Arial Cyr"/>
      <family val="2"/>
    </font>
    <font>
      <i/>
      <sz val="11"/>
      <name val="Arial Cyr"/>
      <family val="2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0" xfId="0" applyFont="1" applyAlignment="1" applyProtection="1">
      <alignment/>
      <protection locked="0"/>
    </xf>
    <xf numFmtId="1" fontId="4" fillId="0" borderId="0" xfId="0" applyNumberFormat="1" applyFont="1" applyFill="1" applyAlignment="1" applyProtection="1">
      <alignment/>
      <protection locked="0"/>
    </xf>
    <xf numFmtId="1" fontId="5" fillId="0" borderId="0" xfId="0" applyNumberFormat="1" applyFont="1" applyFill="1" applyAlignment="1" applyProtection="1">
      <alignment/>
      <protection locked="0"/>
    </xf>
    <xf numFmtId="1" fontId="4" fillId="0" borderId="0" xfId="0" applyNumberFormat="1" applyFont="1" applyFill="1" applyAlignment="1" applyProtection="1">
      <alignment/>
      <protection locked="0"/>
    </xf>
    <xf numFmtId="14" fontId="5" fillId="0" borderId="0" xfId="0" applyNumberFormat="1" applyFont="1" applyFill="1" applyAlignment="1" applyProtection="1">
      <alignment/>
      <protection locked="0"/>
    </xf>
    <xf numFmtId="1" fontId="5" fillId="0" borderId="0" xfId="0" applyNumberFormat="1" applyFont="1" applyAlignment="1" applyProtection="1">
      <alignment/>
      <protection locked="0"/>
    </xf>
    <xf numFmtId="1" fontId="6" fillId="0" borderId="10" xfId="0" applyNumberFormat="1" applyFont="1" applyFill="1" applyBorder="1" applyAlignment="1" applyProtection="1">
      <alignment vertical="center"/>
      <protection locked="0"/>
    </xf>
    <xf numFmtId="1" fontId="7" fillId="33" borderId="11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1" fontId="12" fillId="0" borderId="0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173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95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173" fontId="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174" fontId="4" fillId="0" borderId="0" xfId="57" applyNumberFormat="1" applyFont="1" applyFill="1" applyBorder="1" applyAlignment="1" applyProtection="1">
      <alignment horizontal="center" vertical="center"/>
      <protection locked="0"/>
    </xf>
    <xf numFmtId="171" fontId="0" fillId="0" borderId="0" xfId="0" applyNumberFormat="1" applyFill="1" applyBorder="1" applyAlignment="1" applyProtection="1">
      <alignment/>
      <protection locked="0"/>
    </xf>
    <xf numFmtId="173" fontId="0" fillId="0" borderId="0" xfId="0" applyNumberFormat="1" applyFill="1" applyBorder="1" applyAlignment="1" applyProtection="1">
      <alignment/>
      <protection locked="0"/>
    </xf>
    <xf numFmtId="172" fontId="11" fillId="0" borderId="0" xfId="0" applyNumberFormat="1" applyFont="1" applyFill="1" applyBorder="1" applyAlignment="1" applyProtection="1">
      <alignment/>
      <protection locked="0"/>
    </xf>
    <xf numFmtId="195" fontId="0" fillId="0" borderId="0" xfId="0" applyNumberFormat="1" applyFill="1" applyBorder="1" applyAlignment="1" applyProtection="1">
      <alignment/>
      <protection locked="0"/>
    </xf>
    <xf numFmtId="1" fontId="7" fillId="0" borderId="10" xfId="0" applyNumberFormat="1" applyFont="1" applyFill="1" applyBorder="1" applyAlignment="1" applyProtection="1">
      <alignment horizontal="center" vertical="center"/>
      <protection locked="0"/>
    </xf>
    <xf numFmtId="175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172" fontId="0" fillId="0" borderId="0" xfId="0" applyNumberFormat="1" applyFill="1" applyBorder="1" applyAlignment="1" applyProtection="1">
      <alignment horizontal="center" vertical="center"/>
      <protection locked="0"/>
    </xf>
    <xf numFmtId="195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5" fillId="0" borderId="0" xfId="0" applyFont="1" applyFill="1" applyAlignment="1" applyProtection="1">
      <alignment horizontal="right" vertical="center"/>
      <protection locked="0"/>
    </xf>
    <xf numFmtId="0" fontId="14" fillId="0" borderId="0" xfId="0" applyFont="1" applyFill="1" applyAlignment="1" applyProtection="1">
      <alignment horizontal="right" vertical="center"/>
      <protection locked="0"/>
    </xf>
    <xf numFmtId="1" fontId="17" fillId="0" borderId="0" xfId="0" applyNumberFormat="1" applyFont="1" applyBorder="1" applyAlignment="1" applyProtection="1">
      <alignment vertical="center"/>
      <protection locked="0"/>
    </xf>
    <xf numFmtId="1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/>
      <protection locked="0"/>
    </xf>
    <xf numFmtId="1" fontId="9" fillId="0" borderId="12" xfId="0" applyNumberFormat="1" applyFont="1" applyFill="1" applyBorder="1" applyAlignment="1" applyProtection="1">
      <alignment horizontal="left" vertical="center" wrapText="1"/>
      <protection locked="0"/>
    </xf>
    <xf numFmtId="173" fontId="11" fillId="0" borderId="12" xfId="57" applyNumberFormat="1" applyFont="1" applyFill="1" applyBorder="1" applyAlignment="1" applyProtection="1">
      <alignment horizontal="center" vertical="center"/>
      <protection locked="0"/>
    </xf>
    <xf numFmtId="173" fontId="11" fillId="33" borderId="13" xfId="57" applyNumberFormat="1" applyFont="1" applyFill="1" applyBorder="1" applyAlignment="1" applyProtection="1">
      <alignment horizontal="center" vertical="center"/>
      <protection locked="0"/>
    </xf>
    <xf numFmtId="175" fontId="11" fillId="0" borderId="12" xfId="57" applyNumberFormat="1" applyFont="1" applyFill="1" applyBorder="1" applyAlignment="1" applyProtection="1">
      <alignment horizontal="center" vertical="center"/>
      <protection locked="0"/>
    </xf>
    <xf numFmtId="175" fontId="11" fillId="33" borderId="13" xfId="57" applyNumberFormat="1" applyFont="1" applyFill="1" applyBorder="1" applyAlignment="1" applyProtection="1">
      <alignment horizontal="center" vertical="center"/>
      <protection locked="0"/>
    </xf>
    <xf numFmtId="2" fontId="11" fillId="0" borderId="0" xfId="0" applyNumberFormat="1" applyFont="1" applyAlignment="1" applyProtection="1">
      <alignment/>
      <protection locked="0"/>
    </xf>
    <xf numFmtId="172" fontId="11" fillId="0" borderId="0" xfId="0" applyNumberFormat="1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" fillId="0" borderId="12" xfId="0" applyFont="1" applyFill="1" applyBorder="1" applyAlignment="1" applyProtection="1">
      <alignment horizontal="left" vertical="center"/>
      <protection locked="0"/>
    </xf>
    <xf numFmtId="172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left" vertical="center"/>
      <protection locked="0"/>
    </xf>
    <xf numFmtId="172" fontId="4" fillId="0" borderId="15" xfId="0" applyNumberFormat="1" applyFont="1" applyFill="1" applyBorder="1" applyAlignment="1" applyProtection="1">
      <alignment horizontal="center" vertical="center"/>
      <protection locked="0"/>
    </xf>
    <xf numFmtId="0" fontId="13" fillId="34" borderId="14" xfId="0" applyFont="1" applyFill="1" applyBorder="1" applyAlignment="1" applyProtection="1">
      <alignment horizontal="left" vertical="center"/>
      <protection locked="0"/>
    </xf>
    <xf numFmtId="0" fontId="11" fillId="34" borderId="15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8" fillId="0" borderId="12" xfId="0" applyFont="1" applyFill="1" applyBorder="1" applyAlignment="1" applyProtection="1">
      <alignment horizontal="left" vertic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/>
      <protection locked="0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10" fillId="33" borderId="12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10" fillId="33" borderId="12" xfId="0" applyFont="1" applyFill="1" applyBorder="1" applyAlignment="1" applyProtection="1">
      <alignment horizontal="left" vertical="center" wrapText="1"/>
      <protection locked="0"/>
    </xf>
    <xf numFmtId="4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207" fontId="4" fillId="33" borderId="12" xfId="60" applyNumberFormat="1" applyFont="1" applyFill="1" applyBorder="1" applyAlignment="1" applyProtection="1">
      <alignment horizontal="center" vertical="center" shrinkToFit="1"/>
      <protection locked="0"/>
    </xf>
    <xf numFmtId="207" fontId="4" fillId="33" borderId="12" xfId="60" applyNumberFormat="1" applyFont="1" applyFill="1" applyBorder="1" applyAlignment="1" applyProtection="1">
      <alignment horizontal="center" vertical="center" shrinkToFit="1" readingOrder="1"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95" fontId="19" fillId="0" borderId="0" xfId="6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Alignment="1" applyProtection="1">
      <alignment horizontal="right" vertical="center"/>
      <protection locked="0"/>
    </xf>
    <xf numFmtId="175" fontId="4" fillId="35" borderId="13" xfId="0" applyNumberFormat="1" applyFont="1" applyFill="1" applyBorder="1" applyAlignment="1" applyProtection="1">
      <alignment horizontal="center" vertical="center"/>
      <protection locked="0"/>
    </xf>
    <xf numFmtId="175" fontId="4" fillId="35" borderId="16" xfId="0" applyNumberFormat="1" applyFont="1" applyFill="1" applyBorder="1" applyAlignment="1" applyProtection="1">
      <alignment horizontal="center" vertical="center"/>
      <protection locked="0"/>
    </xf>
    <xf numFmtId="0" fontId="11" fillId="35" borderId="16" xfId="0" applyFont="1" applyFill="1" applyBorder="1" applyAlignment="1" applyProtection="1">
      <alignment horizontal="center" vertical="center"/>
      <protection locked="0"/>
    </xf>
    <xf numFmtId="172" fontId="4" fillId="35" borderId="16" xfId="0" applyNumberFormat="1" applyFont="1" applyFill="1" applyBorder="1" applyAlignment="1" applyProtection="1">
      <alignment horizontal="center" vertical="center"/>
      <protection locked="0"/>
    </xf>
    <xf numFmtId="179" fontId="19" fillId="35" borderId="13" xfId="60" applyNumberFormat="1" applyFont="1" applyFill="1" applyBorder="1" applyAlignment="1" applyProtection="1">
      <alignment horizontal="center" vertical="center"/>
      <protection locked="0"/>
    </xf>
    <xf numFmtId="175" fontId="4" fillId="35" borderId="12" xfId="0" applyNumberFormat="1" applyFont="1" applyFill="1" applyBorder="1" applyAlignment="1" applyProtection="1">
      <alignment horizontal="center" vertical="center" shrinkToFit="1"/>
      <protection locked="0"/>
    </xf>
    <xf numFmtId="1" fontId="21" fillId="34" borderId="12" xfId="0" applyNumberFormat="1" applyFont="1" applyFill="1" applyBorder="1" applyAlignment="1" applyProtection="1">
      <alignment horizontal="left" vertical="center" wrapText="1"/>
      <protection locked="0"/>
    </xf>
    <xf numFmtId="173" fontId="4" fillId="34" borderId="12" xfId="0" applyNumberFormat="1" applyFont="1" applyFill="1" applyBorder="1" applyAlignment="1" applyProtection="1">
      <alignment horizontal="center" vertical="center" wrapText="1"/>
      <protection locked="0"/>
    </xf>
    <xf numFmtId="173" fontId="4" fillId="35" borderId="13" xfId="0" applyNumberFormat="1" applyFont="1" applyFill="1" applyBorder="1" applyAlignment="1" applyProtection="1">
      <alignment horizontal="center" vertical="center" wrapText="1"/>
      <protection locked="0"/>
    </xf>
    <xf numFmtId="1" fontId="17" fillId="0" borderId="0" xfId="0" applyNumberFormat="1" applyFont="1" applyFill="1" applyBorder="1" applyAlignment="1" applyProtection="1">
      <alignment vertical="center"/>
      <protection locked="0"/>
    </xf>
    <xf numFmtId="1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/>
      <protection locked="0"/>
    </xf>
    <xf numFmtId="205" fontId="11" fillId="35" borderId="13" xfId="60" applyNumberFormat="1" applyFont="1" applyFill="1" applyBorder="1" applyAlignment="1" applyProtection="1">
      <alignment horizontal="center" vertical="center"/>
      <protection locked="0"/>
    </xf>
    <xf numFmtId="205" fontId="4" fillId="35" borderId="13" xfId="60" applyNumberFormat="1" applyFont="1" applyFill="1" applyBorder="1" applyAlignment="1" applyProtection="1">
      <alignment horizontal="center" vertical="center" shrinkToFit="1"/>
      <protection locked="0"/>
    </xf>
    <xf numFmtId="175" fontId="11" fillId="33" borderId="13" xfId="0" applyNumberFormat="1" applyFont="1" applyFill="1" applyBorder="1" applyAlignment="1" applyProtection="1">
      <alignment horizontal="center" vertical="center"/>
      <protection locked="0"/>
    </xf>
    <xf numFmtId="172" fontId="11" fillId="0" borderId="0" xfId="0" applyNumberFormat="1" applyFont="1" applyAlignment="1" applyProtection="1">
      <alignment/>
      <protection locked="0"/>
    </xf>
    <xf numFmtId="4" fontId="9" fillId="0" borderId="12" xfId="0" applyNumberFormat="1" applyFont="1" applyBorder="1" applyAlignment="1" applyProtection="1">
      <alignment horizontal="center" vertical="center"/>
      <protection locked="0"/>
    </xf>
    <xf numFmtId="4" fontId="9" fillId="35" borderId="13" xfId="0" applyNumberFormat="1" applyFont="1" applyFill="1" applyBorder="1" applyAlignment="1" applyProtection="1">
      <alignment horizontal="center" vertical="center"/>
      <protection locked="0"/>
    </xf>
    <xf numFmtId="4" fontId="21" fillId="33" borderId="12" xfId="60" applyNumberFormat="1" applyFont="1" applyFill="1" applyBorder="1" applyAlignment="1" applyProtection="1">
      <alignment horizontal="center" vertical="center" shrinkToFit="1"/>
      <protection locked="0"/>
    </xf>
    <xf numFmtId="4" fontId="21" fillId="35" borderId="13" xfId="60" applyNumberFormat="1" applyFont="1" applyFill="1" applyBorder="1" applyAlignment="1" applyProtection="1">
      <alignment horizontal="center" vertical="center" shrinkToFit="1"/>
      <protection locked="0"/>
    </xf>
    <xf numFmtId="4" fontId="4" fillId="33" borderId="12" xfId="60" applyNumberFormat="1" applyFont="1" applyFill="1" applyBorder="1" applyAlignment="1" applyProtection="1">
      <alignment horizontal="center" vertical="center" shrinkToFit="1"/>
      <protection locked="0"/>
    </xf>
    <xf numFmtId="4" fontId="4" fillId="35" borderId="13" xfId="60" applyNumberFormat="1" applyFont="1" applyFill="1" applyBorder="1" applyAlignment="1" applyProtection="1">
      <alignment horizontal="center" vertical="center" shrinkToFit="1"/>
      <protection locked="0"/>
    </xf>
    <xf numFmtId="205" fontId="0" fillId="0" borderId="0" xfId="0" applyNumberFormat="1" applyFill="1" applyBorder="1" applyAlignment="1" applyProtection="1">
      <alignment horizontal="center" vertical="center"/>
      <protection locked="0"/>
    </xf>
    <xf numFmtId="205" fontId="4" fillId="33" borderId="12" xfId="60" applyNumberFormat="1" applyFont="1" applyFill="1" applyBorder="1" applyAlignment="1" applyProtection="1">
      <alignment horizontal="center" vertical="center" shrinkToFit="1"/>
      <protection locked="0"/>
    </xf>
    <xf numFmtId="205" fontId="4" fillId="33" borderId="12" xfId="60" applyNumberFormat="1" applyFont="1" applyFill="1" applyBorder="1" applyAlignment="1" applyProtection="1">
      <alignment horizontal="center" vertical="center" shrinkToFit="1" readingOrder="1"/>
      <protection locked="0"/>
    </xf>
    <xf numFmtId="1" fontId="22" fillId="0" borderId="12" xfId="0" applyNumberFormat="1" applyFont="1" applyFill="1" applyBorder="1" applyAlignment="1" applyProtection="1">
      <alignment horizontal="left" vertical="center" wrapText="1"/>
      <protection locked="0"/>
    </xf>
    <xf numFmtId="3" fontId="16" fillId="0" borderId="12" xfId="57" applyNumberFormat="1" applyFont="1" applyFill="1" applyBorder="1" applyAlignment="1" applyProtection="1">
      <alignment horizontal="center" vertical="center"/>
      <protection locked="0"/>
    </xf>
    <xf numFmtId="3" fontId="11" fillId="0" borderId="12" xfId="57" applyNumberFormat="1" applyFont="1" applyFill="1" applyBorder="1" applyAlignment="1" applyProtection="1">
      <alignment horizontal="center" vertical="center"/>
      <protection locked="0"/>
    </xf>
    <xf numFmtId="3" fontId="1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left" vertical="center"/>
      <protection locked="0"/>
    </xf>
    <xf numFmtId="172" fontId="11" fillId="0" borderId="12" xfId="0" applyNumberFormat="1" applyFont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left" vertical="center"/>
      <protection locked="0"/>
    </xf>
    <xf numFmtId="172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23" fillId="0" borderId="12" xfId="0" applyFont="1" applyFill="1" applyBorder="1" applyAlignment="1" applyProtection="1">
      <alignment horizontal="left" vertical="center" wrapText="1"/>
      <protection locked="0"/>
    </xf>
    <xf numFmtId="195" fontId="11" fillId="0" borderId="12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64"/>
  <sheetViews>
    <sheetView zoomScale="78" zoomScaleNormal="78" zoomScalePageLayoutView="0" workbookViewId="0" topLeftCell="A1">
      <pane xSplit="2" ySplit="4" topLeftCell="F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3" sqref="B3"/>
    </sheetView>
  </sheetViews>
  <sheetFormatPr defaultColWidth="9.00390625" defaultRowHeight="12.75"/>
  <cols>
    <col min="1" max="1" width="3.875" style="1" customWidth="1"/>
    <col min="2" max="2" width="38.25390625" style="1" customWidth="1"/>
    <col min="3" max="9" width="14.00390625" style="1" customWidth="1"/>
    <col min="10" max="10" width="15.625" style="1" customWidth="1"/>
    <col min="11" max="11" width="14.75390625" style="1" customWidth="1"/>
    <col min="12" max="12" width="17.00390625" style="1" customWidth="1"/>
    <col min="13" max="16" width="14.00390625" style="1" customWidth="1"/>
    <col min="17" max="17" width="16.75390625" style="1" customWidth="1"/>
    <col min="18" max="18" width="15.375" style="1" customWidth="1"/>
    <col min="19" max="19" width="16.625" style="1" customWidth="1"/>
    <col min="20" max="20" width="8.375" style="1" customWidth="1"/>
    <col min="21" max="16384" width="9.125" style="1" customWidth="1"/>
  </cols>
  <sheetData>
    <row r="1" ht="12.75">
      <c r="Q1" s="2"/>
    </row>
    <row r="2" spans="10:17" ht="15">
      <c r="J2" s="3"/>
      <c r="Q2" s="2"/>
    </row>
    <row r="3" spans="2:20" ht="18">
      <c r="B3" s="4" t="s">
        <v>30</v>
      </c>
      <c r="C3" s="5"/>
      <c r="D3" s="6"/>
      <c r="E3" s="5"/>
      <c r="F3" s="5"/>
      <c r="G3" s="5"/>
      <c r="H3" s="6"/>
      <c r="I3" s="5"/>
      <c r="J3" s="5"/>
      <c r="K3" s="5"/>
      <c r="L3" s="5"/>
      <c r="M3" s="5"/>
      <c r="N3" s="5"/>
      <c r="O3" s="5"/>
      <c r="P3" s="5"/>
      <c r="Q3" s="7"/>
      <c r="R3" s="8"/>
      <c r="S3" s="8"/>
      <c r="T3" s="8"/>
    </row>
    <row r="4" spans="2:24" ht="33.75" customHeight="1" thickBot="1">
      <c r="B4" s="9" t="s">
        <v>0</v>
      </c>
      <c r="C4" s="34" t="s">
        <v>3</v>
      </c>
      <c r="D4" s="34" t="s">
        <v>4</v>
      </c>
      <c r="E4" s="34" t="s">
        <v>5</v>
      </c>
      <c r="F4" s="34" t="s">
        <v>6</v>
      </c>
      <c r="G4" s="34" t="s">
        <v>7</v>
      </c>
      <c r="H4" s="34" t="s">
        <v>8</v>
      </c>
      <c r="I4" s="34" t="s">
        <v>9</v>
      </c>
      <c r="J4" s="34" t="s">
        <v>10</v>
      </c>
      <c r="K4" s="34" t="s">
        <v>11</v>
      </c>
      <c r="L4" s="34" t="s">
        <v>12</v>
      </c>
      <c r="M4" s="34" t="s">
        <v>13</v>
      </c>
      <c r="N4" s="34" t="s">
        <v>14</v>
      </c>
      <c r="O4" s="34" t="s">
        <v>15</v>
      </c>
      <c r="P4" s="34" t="s">
        <v>16</v>
      </c>
      <c r="Q4" s="10" t="s">
        <v>1</v>
      </c>
      <c r="R4" s="11"/>
      <c r="S4" s="11"/>
      <c r="T4" s="11"/>
      <c r="U4" s="12"/>
      <c r="V4" s="12"/>
      <c r="W4" s="12"/>
      <c r="X4" s="12"/>
    </row>
    <row r="5" spans="2:24" ht="30.75" customHeight="1">
      <c r="B5" s="85" t="s">
        <v>17</v>
      </c>
      <c r="C5" s="86">
        <v>129279</v>
      </c>
      <c r="D5" s="86">
        <v>416204</v>
      </c>
      <c r="E5" s="86">
        <v>727584</v>
      </c>
      <c r="F5" s="86">
        <v>377020</v>
      </c>
      <c r="G5" s="86">
        <v>279611</v>
      </c>
      <c r="H5" s="86">
        <v>456306</v>
      </c>
      <c r="I5" s="86">
        <v>243481</v>
      </c>
      <c r="J5" s="86">
        <v>6885117</v>
      </c>
      <c r="K5" s="86">
        <v>172433</v>
      </c>
      <c r="L5" s="86">
        <v>3480269</v>
      </c>
      <c r="M5" s="86">
        <v>1841525</v>
      </c>
      <c r="N5" s="86">
        <v>730072</v>
      </c>
      <c r="O5" s="86">
        <v>295908</v>
      </c>
      <c r="P5" s="86">
        <v>2572482</v>
      </c>
      <c r="Q5" s="87">
        <f>SUM(C5:P5)</f>
        <v>18607291</v>
      </c>
      <c r="R5" s="13"/>
      <c r="S5" s="13"/>
      <c r="T5" s="11"/>
      <c r="U5" s="12"/>
      <c r="V5" s="12"/>
      <c r="W5" s="12"/>
      <c r="X5" s="12"/>
    </row>
    <row r="6" spans="2:23" s="15" customFormat="1" ht="30.75" customHeight="1">
      <c r="B6" s="104" t="s">
        <v>29</v>
      </c>
      <c r="C6" s="105">
        <v>366</v>
      </c>
      <c r="D6" s="105">
        <v>1147</v>
      </c>
      <c r="E6" s="105">
        <v>1291</v>
      </c>
      <c r="F6" s="105">
        <v>1006</v>
      </c>
      <c r="G6" s="105">
        <v>332</v>
      </c>
      <c r="H6" s="105">
        <v>778</v>
      </c>
      <c r="I6" s="105">
        <v>331</v>
      </c>
      <c r="J6" s="105">
        <v>5654</v>
      </c>
      <c r="K6" s="105">
        <v>186</v>
      </c>
      <c r="L6" s="105">
        <v>1993</v>
      </c>
      <c r="M6" s="105">
        <v>1987</v>
      </c>
      <c r="N6" s="105">
        <v>1430</v>
      </c>
      <c r="O6" s="105">
        <v>499</v>
      </c>
      <c r="P6" s="106">
        <v>3496</v>
      </c>
      <c r="Q6" s="107">
        <f>SUM(C6:P6)</f>
        <v>20496</v>
      </c>
      <c r="R6" s="88"/>
      <c r="S6" s="88"/>
      <c r="T6" s="89"/>
      <c r="U6" s="90"/>
      <c r="V6" s="90"/>
      <c r="W6" s="90"/>
    </row>
    <row r="7" spans="2:23" ht="24" customHeight="1">
      <c r="B7" s="50" t="s">
        <v>18</v>
      </c>
      <c r="C7" s="51">
        <f>C5/C6</f>
        <v>353.22131147540983</v>
      </c>
      <c r="D7" s="51">
        <f>D5/D6</f>
        <v>362.86312118570186</v>
      </c>
      <c r="E7" s="51">
        <f>E5/E6</f>
        <v>563.5817195972114</v>
      </c>
      <c r="F7" s="51">
        <f>F5/F6</f>
        <v>374.7713717693837</v>
      </c>
      <c r="G7" s="51">
        <f aca="true" t="shared" si="0" ref="G7:O7">G5/G6</f>
        <v>842.2018072289156</v>
      </c>
      <c r="H7" s="51">
        <f>H5/H6</f>
        <v>586.5115681233933</v>
      </c>
      <c r="I7" s="51">
        <f t="shared" si="0"/>
        <v>735.5921450151058</v>
      </c>
      <c r="J7" s="51">
        <f>J5/J6</f>
        <v>1217.7426600636718</v>
      </c>
      <c r="K7" s="51">
        <f t="shared" si="0"/>
        <v>927.0591397849462</v>
      </c>
      <c r="L7" s="51">
        <f t="shared" si="0"/>
        <v>1746.2463622679377</v>
      </c>
      <c r="M7" s="51">
        <f t="shared" si="0"/>
        <v>926.7866129843986</v>
      </c>
      <c r="N7" s="51">
        <f>N5/N6</f>
        <v>510.53986013986014</v>
      </c>
      <c r="O7" s="51">
        <f t="shared" si="0"/>
        <v>593.002004008016</v>
      </c>
      <c r="P7" s="51">
        <f>P5/P6</f>
        <v>735.8358123569794</v>
      </c>
      <c r="Q7" s="52">
        <f>Q5/Q6</f>
        <v>907.8498731459797</v>
      </c>
      <c r="R7" s="47"/>
      <c r="S7" s="47"/>
      <c r="T7" s="48"/>
      <c r="U7" s="49"/>
      <c r="V7" s="49"/>
      <c r="W7" s="49"/>
    </row>
    <row r="8" spans="2:23" ht="24" customHeight="1">
      <c r="B8" s="50" t="s">
        <v>19</v>
      </c>
      <c r="C8" s="53">
        <f>C7/$Q$7</f>
        <v>0.3890745837209726</v>
      </c>
      <c r="D8" s="53">
        <f aca="true" t="shared" si="1" ref="D8:Q8">D7/$Q$7</f>
        <v>0.3996950728519345</v>
      </c>
      <c r="E8" s="53">
        <f t="shared" si="1"/>
        <v>0.6207873529179742</v>
      </c>
      <c r="F8" s="53">
        <f t="shared" si="1"/>
        <v>0.4128120550049595</v>
      </c>
      <c r="G8" s="53">
        <f t="shared" si="1"/>
        <v>0.9276884120834061</v>
      </c>
      <c r="H8" s="53">
        <f t="shared" si="1"/>
        <v>0.6460446660535953</v>
      </c>
      <c r="I8" s="53">
        <f>I7/$Q$7</f>
        <v>0.8102574740315293</v>
      </c>
      <c r="J8" s="53">
        <f t="shared" si="1"/>
        <v>1.341348053333772</v>
      </c>
      <c r="K8" s="53">
        <f>K7/$Q$7</f>
        <v>1.0211590783974012</v>
      </c>
      <c r="L8" s="53">
        <f t="shared" si="1"/>
        <v>1.9234968400850856</v>
      </c>
      <c r="M8" s="53">
        <f t="shared" si="1"/>
        <v>1.0208588891165422</v>
      </c>
      <c r="N8" s="53">
        <f t="shared" si="1"/>
        <v>0.562361548138661</v>
      </c>
      <c r="O8" s="53">
        <f t="shared" si="1"/>
        <v>0.6531939052357646</v>
      </c>
      <c r="P8" s="53">
        <f>P7/$Q$7</f>
        <v>0.8105258745116981</v>
      </c>
      <c r="Q8" s="54">
        <f t="shared" si="1"/>
        <v>1</v>
      </c>
      <c r="R8" s="55"/>
      <c r="S8" s="47"/>
      <c r="T8" s="48"/>
      <c r="U8" s="49"/>
      <c r="V8" s="49"/>
      <c r="W8" s="49"/>
    </row>
    <row r="9" spans="2:23" s="76" customFormat="1" ht="24" customHeight="1">
      <c r="B9" s="108" t="s">
        <v>20</v>
      </c>
      <c r="C9" s="109">
        <v>1.911</v>
      </c>
      <c r="D9" s="109">
        <v>1.27</v>
      </c>
      <c r="E9" s="109">
        <v>0.91</v>
      </c>
      <c r="F9" s="109">
        <v>0.983</v>
      </c>
      <c r="G9" s="109">
        <v>2.356</v>
      </c>
      <c r="H9" s="109">
        <v>1.65</v>
      </c>
      <c r="I9" s="109">
        <v>2.733</v>
      </c>
      <c r="J9" s="109">
        <v>0.495</v>
      </c>
      <c r="K9" s="109">
        <v>2.92</v>
      </c>
      <c r="L9" s="109">
        <v>0.414</v>
      </c>
      <c r="M9" s="109">
        <v>0.961</v>
      </c>
      <c r="N9" s="109">
        <v>0.761</v>
      </c>
      <c r="O9" s="109">
        <v>2.144</v>
      </c>
      <c r="P9" s="109">
        <v>1.422</v>
      </c>
      <c r="Q9" s="93">
        <v>1</v>
      </c>
      <c r="R9" s="94"/>
      <c r="S9" s="14"/>
      <c r="T9" s="43"/>
      <c r="U9" s="43"/>
      <c r="V9" s="43"/>
      <c r="W9" s="43"/>
    </row>
    <row r="10" spans="2:23" ht="24" customHeight="1">
      <c r="B10" s="110" t="s">
        <v>21</v>
      </c>
      <c r="C10" s="111">
        <f>C8/C9</f>
        <v>0.20359737505022113</v>
      </c>
      <c r="D10" s="111">
        <f aca="true" t="shared" si="2" ref="D10:N10">D8/D9</f>
        <v>0.31472052980467285</v>
      </c>
      <c r="E10" s="111">
        <f>E8/E9</f>
        <v>0.682183904305466</v>
      </c>
      <c r="F10" s="111">
        <f t="shared" si="2"/>
        <v>0.4199512258443128</v>
      </c>
      <c r="G10" s="111">
        <f t="shared" si="2"/>
        <v>0.39375569273489225</v>
      </c>
      <c r="H10" s="111">
        <f>H8/H9</f>
        <v>0.39154222185066384</v>
      </c>
      <c r="I10" s="111">
        <f t="shared" si="2"/>
        <v>0.29647181633059977</v>
      </c>
      <c r="J10" s="111">
        <f t="shared" si="2"/>
        <v>2.7097940471389332</v>
      </c>
      <c r="K10" s="111">
        <f>K8/K9</f>
        <v>0.34971201314979494</v>
      </c>
      <c r="L10" s="111">
        <f t="shared" si="2"/>
        <v>4.646127633055762</v>
      </c>
      <c r="M10" s="111">
        <f t="shared" si="2"/>
        <v>1.0622881260317818</v>
      </c>
      <c r="N10" s="111">
        <f t="shared" si="2"/>
        <v>0.7389770671992917</v>
      </c>
      <c r="O10" s="111">
        <f>O8/O9</f>
        <v>0.30466133639727827</v>
      </c>
      <c r="P10" s="111">
        <f>P8/P9</f>
        <v>0.5699900664639227</v>
      </c>
      <c r="Q10" s="79">
        <f>Q8/Q9</f>
        <v>1</v>
      </c>
      <c r="R10" s="56"/>
      <c r="S10" s="57"/>
      <c r="T10" s="49"/>
      <c r="U10" s="49"/>
      <c r="V10" s="49"/>
      <c r="W10" s="49"/>
    </row>
    <row r="11" spans="2:23" ht="24" customHeight="1">
      <c r="B11" s="60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80"/>
      <c r="R11" s="56"/>
      <c r="S11" s="57"/>
      <c r="T11" s="49"/>
      <c r="U11" s="49"/>
      <c r="V11" s="49"/>
      <c r="W11" s="49"/>
    </row>
    <row r="12" spans="2:23" ht="24" customHeight="1">
      <c r="B12" s="62" t="s">
        <v>27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81"/>
      <c r="R12" s="56"/>
      <c r="S12" s="57"/>
      <c r="T12" s="49"/>
      <c r="U12" s="49"/>
      <c r="V12" s="49"/>
      <c r="W12" s="49"/>
    </row>
    <row r="13" spans="2:23" ht="39" customHeight="1">
      <c r="B13" s="112" t="s">
        <v>26</v>
      </c>
      <c r="C13" s="113">
        <v>208.6</v>
      </c>
      <c r="D13" s="113">
        <v>208.6</v>
      </c>
      <c r="E13" s="113">
        <v>208.6</v>
      </c>
      <c r="F13" s="113">
        <v>208.6</v>
      </c>
      <c r="G13" s="113">
        <v>208.6</v>
      </c>
      <c r="H13" s="113">
        <v>208.6</v>
      </c>
      <c r="I13" s="113">
        <v>208.6</v>
      </c>
      <c r="J13" s="113">
        <v>208.6</v>
      </c>
      <c r="K13" s="113">
        <v>208.6</v>
      </c>
      <c r="L13" s="113">
        <v>208.6</v>
      </c>
      <c r="M13" s="113">
        <v>208.6</v>
      </c>
      <c r="N13" s="113">
        <v>208.6</v>
      </c>
      <c r="O13" s="113">
        <v>208.6</v>
      </c>
      <c r="P13" s="113">
        <v>208.6</v>
      </c>
      <c r="Q13" s="91"/>
      <c r="R13" s="56"/>
      <c r="S13" s="57"/>
      <c r="T13" s="49"/>
      <c r="U13" s="49"/>
      <c r="V13" s="49"/>
      <c r="W13" s="49"/>
    </row>
    <row r="14" spans="2:23" ht="24" customHeight="1">
      <c r="B14" s="71" t="s">
        <v>2</v>
      </c>
      <c r="C14" s="73">
        <f>ROUND(C13*C6,1)</f>
        <v>76347.6</v>
      </c>
      <c r="D14" s="73">
        <f aca="true" t="shared" si="3" ref="D14:P14">ROUND(D13*D6,1)</f>
        <v>239264.2</v>
      </c>
      <c r="E14" s="73">
        <f t="shared" si="3"/>
        <v>269302.6</v>
      </c>
      <c r="F14" s="73">
        <f>ROUND(F13*F6,1)</f>
        <v>209851.6</v>
      </c>
      <c r="G14" s="73">
        <f t="shared" si="3"/>
        <v>69255.2</v>
      </c>
      <c r="H14" s="73">
        <f t="shared" si="3"/>
        <v>162290.8</v>
      </c>
      <c r="I14" s="73">
        <f t="shared" si="3"/>
        <v>69046.6</v>
      </c>
      <c r="J14" s="73">
        <f t="shared" si="3"/>
        <v>1179424.4</v>
      </c>
      <c r="K14" s="73">
        <f t="shared" si="3"/>
        <v>38799.6</v>
      </c>
      <c r="L14" s="74">
        <f t="shared" si="3"/>
        <v>415739.8</v>
      </c>
      <c r="M14" s="73">
        <f t="shared" si="3"/>
        <v>414488.2</v>
      </c>
      <c r="N14" s="73">
        <f t="shared" si="3"/>
        <v>298298</v>
      </c>
      <c r="O14" s="73">
        <f t="shared" si="3"/>
        <v>104091.4</v>
      </c>
      <c r="P14" s="73">
        <f t="shared" si="3"/>
        <v>729265.6</v>
      </c>
      <c r="Q14" s="92">
        <f>SUM(C14:P14)</f>
        <v>4275465.6</v>
      </c>
      <c r="R14" s="56"/>
      <c r="S14" s="57"/>
      <c r="T14" s="49"/>
      <c r="U14" s="49"/>
      <c r="V14" s="49"/>
      <c r="W14" s="49"/>
    </row>
    <row r="15" spans="2:23" ht="15" customHeight="1"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82"/>
      <c r="R15" s="56"/>
      <c r="S15" s="57"/>
      <c r="T15" s="49"/>
      <c r="U15" s="49"/>
      <c r="V15" s="49"/>
      <c r="W15" s="49"/>
    </row>
    <row r="16" spans="2:20" ht="27" customHeight="1">
      <c r="B16" s="62" t="s">
        <v>28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81"/>
      <c r="R16" s="14"/>
      <c r="S16" s="75"/>
      <c r="T16" s="76"/>
    </row>
    <row r="17" spans="2:25" ht="24" customHeight="1">
      <c r="B17" s="65" t="s">
        <v>22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83">
        <f>(Q5+S17)/Q5</f>
        <v>1</v>
      </c>
      <c r="R17" s="14"/>
      <c r="S17" s="72"/>
      <c r="T17" s="67"/>
      <c r="U17" s="49"/>
      <c r="V17" s="49"/>
      <c r="W17" s="49"/>
      <c r="X17" s="49"/>
      <c r="Y17" s="49"/>
    </row>
    <row r="18" spans="2:25" ht="39" customHeight="1">
      <c r="B18" s="68" t="s">
        <v>23</v>
      </c>
      <c r="C18" s="95">
        <f>IF(C10&lt;$Q$17,$Q$5/$Q$6*($Q$17-C10)*C9*C6,0)</f>
        <v>505694.805375</v>
      </c>
      <c r="D18" s="95">
        <f aca="true" t="shared" si="4" ref="D18:P18">IF(D10&lt;$Q$17,$Q$5/$Q$6*($Q$17-D10)*D9*D6,0)</f>
        <v>906251.8317130172</v>
      </c>
      <c r="E18" s="95">
        <f t="shared" si="4"/>
        <v>338967.1094706286</v>
      </c>
      <c r="F18" s="95">
        <f t="shared" si="4"/>
        <v>520750.9238543131</v>
      </c>
      <c r="G18" s="95">
        <f t="shared" si="4"/>
        <v>430501.9079758002</v>
      </c>
      <c r="H18" s="95">
        <f t="shared" si="4"/>
        <v>709100.882157494</v>
      </c>
      <c r="I18" s="95">
        <f>IF(I10&lt;$Q$17,$Q$5/$Q$6*($Q$17-I10)*I9*I6,0)</f>
        <v>577780.8757949357</v>
      </c>
      <c r="J18" s="95">
        <f t="shared" si="4"/>
        <v>0</v>
      </c>
      <c r="K18" s="95">
        <f t="shared" si="4"/>
        <v>320638.4231030445</v>
      </c>
      <c r="L18" s="95">
        <f t="shared" si="4"/>
        <v>0</v>
      </c>
      <c r="M18" s="95">
        <f t="shared" si="4"/>
        <v>0</v>
      </c>
      <c r="N18" s="95">
        <f t="shared" si="4"/>
        <v>257877.46745364953</v>
      </c>
      <c r="O18" s="95">
        <f t="shared" si="4"/>
        <v>675360.6338844652</v>
      </c>
      <c r="P18" s="95">
        <f t="shared" si="4"/>
        <v>1940722.9685690869</v>
      </c>
      <c r="Q18" s="96">
        <f>SUM(C18:P18)</f>
        <v>7183647.8293514345</v>
      </c>
      <c r="R18" s="14"/>
      <c r="S18" s="77"/>
      <c r="T18" s="43"/>
      <c r="U18" s="49"/>
      <c r="V18" s="49"/>
      <c r="W18" s="49"/>
      <c r="X18" s="49"/>
      <c r="Y18" s="49"/>
    </row>
    <row r="19" spans="2:20" ht="39.75" customHeight="1">
      <c r="B19" s="69" t="s">
        <v>24</v>
      </c>
      <c r="C19" s="97">
        <f>C18</f>
        <v>505694.805375</v>
      </c>
      <c r="D19" s="97">
        <f>D18</f>
        <v>906251.8317130172</v>
      </c>
      <c r="E19" s="97">
        <f aca="true" t="shared" si="5" ref="E19:P19">E18</f>
        <v>338967.1094706286</v>
      </c>
      <c r="F19" s="97">
        <f t="shared" si="5"/>
        <v>520750.9238543131</v>
      </c>
      <c r="G19" s="97">
        <f t="shared" si="5"/>
        <v>430501.9079758002</v>
      </c>
      <c r="H19" s="97">
        <f t="shared" si="5"/>
        <v>709100.882157494</v>
      </c>
      <c r="I19" s="97">
        <f t="shared" si="5"/>
        <v>577780.8757949357</v>
      </c>
      <c r="J19" s="97">
        <f t="shared" si="5"/>
        <v>0</v>
      </c>
      <c r="K19" s="97">
        <f t="shared" si="5"/>
        <v>320638.4231030445</v>
      </c>
      <c r="L19" s="97">
        <f>L18</f>
        <v>0</v>
      </c>
      <c r="M19" s="97">
        <f t="shared" si="5"/>
        <v>0</v>
      </c>
      <c r="N19" s="97">
        <f t="shared" si="5"/>
        <v>257877.46745364953</v>
      </c>
      <c r="O19" s="97">
        <f t="shared" si="5"/>
        <v>675360.6338844652</v>
      </c>
      <c r="P19" s="97">
        <f t="shared" si="5"/>
        <v>1940722.9685690869</v>
      </c>
      <c r="Q19" s="98">
        <f>SUM(C19:P19)</f>
        <v>7183647.8293514345</v>
      </c>
      <c r="R19" s="14"/>
      <c r="S19" s="78"/>
      <c r="T19" s="76"/>
    </row>
    <row r="20" spans="2:20" ht="29.25" customHeight="1">
      <c r="B20" s="69" t="s">
        <v>2</v>
      </c>
      <c r="C20" s="99">
        <f aca="true" t="shared" si="6" ref="C20:L20">ROUND(C19,1)</f>
        <v>505694.8</v>
      </c>
      <c r="D20" s="99">
        <f t="shared" si="6"/>
        <v>906251.8</v>
      </c>
      <c r="E20" s="99">
        <f>ROUND(E19,1)</f>
        <v>338967.1</v>
      </c>
      <c r="F20" s="99">
        <f t="shared" si="6"/>
        <v>520750.9</v>
      </c>
      <c r="G20" s="99">
        <f t="shared" si="6"/>
        <v>430501.9</v>
      </c>
      <c r="H20" s="99">
        <f t="shared" si="6"/>
        <v>709100.9</v>
      </c>
      <c r="I20" s="99">
        <f t="shared" si="6"/>
        <v>577780.9</v>
      </c>
      <c r="J20" s="99">
        <f t="shared" si="6"/>
        <v>0</v>
      </c>
      <c r="K20" s="99">
        <f t="shared" si="6"/>
        <v>320638.4</v>
      </c>
      <c r="L20" s="99">
        <f t="shared" si="6"/>
        <v>0</v>
      </c>
      <c r="M20" s="99">
        <f>ROUND(M19,1)</f>
        <v>0</v>
      </c>
      <c r="N20" s="99">
        <f>ROUND(N19,1)</f>
        <v>257877.5</v>
      </c>
      <c r="O20" s="99">
        <f>ROUND(O19,1)</f>
        <v>675360.6</v>
      </c>
      <c r="P20" s="99">
        <f>ROUND(P19,1)</f>
        <v>1940723</v>
      </c>
      <c r="Q20" s="100">
        <f>SUM(C20:P20)</f>
        <v>7183647.8</v>
      </c>
      <c r="R20" s="14"/>
      <c r="S20" s="45"/>
      <c r="T20" s="64"/>
    </row>
    <row r="21" spans="2:20" s="15" customFormat="1" ht="29.25" customHeight="1">
      <c r="B21" s="70" t="s">
        <v>25</v>
      </c>
      <c r="C21" s="59">
        <f>((C5+C20)/C6)/($Q$5/$Q$6)/C9</f>
        <v>0.9999999915350839</v>
      </c>
      <c r="D21" s="59">
        <f aca="true" t="shared" si="7" ref="D21:P21">((D5+D20)/D6)/($Q$5/$Q$6)/D9</f>
        <v>0.9999999760196021</v>
      </c>
      <c r="E21" s="59">
        <f t="shared" si="7"/>
        <v>0.999999991120324</v>
      </c>
      <c r="F21" s="59">
        <f t="shared" si="7"/>
        <v>0.9999999734293991</v>
      </c>
      <c r="G21" s="59">
        <f t="shared" si="7"/>
        <v>0.999999988768265</v>
      </c>
      <c r="H21" s="59">
        <f t="shared" si="7"/>
        <v>1.0000000153101085</v>
      </c>
      <c r="I21" s="59">
        <f t="shared" si="7"/>
        <v>1.000000029473016</v>
      </c>
      <c r="J21" s="59">
        <f t="shared" si="7"/>
        <v>2.7097940471389332</v>
      </c>
      <c r="K21" s="59">
        <f t="shared" si="7"/>
        <v>0.999999953144629</v>
      </c>
      <c r="L21" s="59">
        <f t="shared" si="7"/>
        <v>4.646127633055762</v>
      </c>
      <c r="M21" s="59">
        <f t="shared" si="7"/>
        <v>1.0622881260317818</v>
      </c>
      <c r="N21" s="59">
        <f t="shared" si="7"/>
        <v>1.0000000329433352</v>
      </c>
      <c r="O21" s="59">
        <f t="shared" si="7"/>
        <v>0.9999999651131889</v>
      </c>
      <c r="P21" s="59">
        <f t="shared" si="7"/>
        <v>1.0000000069642114</v>
      </c>
      <c r="Q21" s="84"/>
      <c r="R21" s="44"/>
      <c r="S21" s="46"/>
      <c r="T21" s="44"/>
    </row>
    <row r="22" spans="2:20" s="15" customFormat="1" ht="29.25" customHeight="1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44"/>
      <c r="S22" s="46"/>
      <c r="T22" s="44"/>
    </row>
    <row r="23" spans="3:19" s="15" customFormat="1" ht="29.25" customHeight="1" hidden="1">
      <c r="C23" s="41">
        <f>IF(C10&lt;$Q$17,$Q$5/$Q$6*($Q$17-C10)*C9*C6,0)</f>
        <v>505694.805375</v>
      </c>
      <c r="D23" s="41">
        <f aca="true" t="shared" si="8" ref="D23:P23">IF(D10&lt;$Q$17,$Q$5/$Q$6*($Q$17-D10)*D9*D6,0)</f>
        <v>906251.8317130172</v>
      </c>
      <c r="E23" s="41">
        <f t="shared" si="8"/>
        <v>338967.1094706286</v>
      </c>
      <c r="F23" s="41">
        <f t="shared" si="8"/>
        <v>520750.9238543131</v>
      </c>
      <c r="G23" s="41">
        <f t="shared" si="8"/>
        <v>430501.9079758002</v>
      </c>
      <c r="H23" s="41">
        <f t="shared" si="8"/>
        <v>709100.882157494</v>
      </c>
      <c r="I23" s="41">
        <f t="shared" si="8"/>
        <v>577780.8757949357</v>
      </c>
      <c r="J23" s="41">
        <f t="shared" si="8"/>
        <v>0</v>
      </c>
      <c r="K23" s="41">
        <f t="shared" si="8"/>
        <v>320638.4231030445</v>
      </c>
      <c r="L23" s="41">
        <f t="shared" si="8"/>
        <v>0</v>
      </c>
      <c r="M23" s="41">
        <f t="shared" si="8"/>
        <v>0</v>
      </c>
      <c r="N23" s="41">
        <f t="shared" si="8"/>
        <v>257877.46745364953</v>
      </c>
      <c r="O23" s="41">
        <f t="shared" si="8"/>
        <v>675360.6338844652</v>
      </c>
      <c r="P23" s="41">
        <f t="shared" si="8"/>
        <v>1940722.9685690869</v>
      </c>
      <c r="Q23" s="41">
        <f>SUM(C23:P23)</f>
        <v>7183647.8293514345</v>
      </c>
      <c r="S23" s="42"/>
    </row>
    <row r="24" spans="2:17" s="23" customFormat="1" ht="42" customHeight="1" hidden="1">
      <c r="B24" s="18"/>
      <c r="C24" s="35">
        <f>Q5/Q6*(Q17-C10)*C9*C6</f>
        <v>505694.805375</v>
      </c>
      <c r="D24" s="19">
        <f>Q5/Q6*(Q17-D10)*D9*D6</f>
        <v>906251.8317130172</v>
      </c>
      <c r="E24" s="19">
        <f>Q5/Q6*(1-E10)*E9*E6</f>
        <v>338967.1094706286</v>
      </c>
      <c r="F24" s="19">
        <f>Q5/Q6*(1-F10)*F9*F6</f>
        <v>520750.9238543131</v>
      </c>
      <c r="G24" s="35">
        <f>Q5/Q6*(1-G10)*G9*G6</f>
        <v>430501.9079758002</v>
      </c>
      <c r="H24" s="19">
        <f>Q5/Q6*(1-H10)*H9*H6</f>
        <v>709100.882157494</v>
      </c>
      <c r="I24" s="35">
        <f>Q5/Q6*(1-I10)*I9*I6</f>
        <v>577780.8757949357</v>
      </c>
      <c r="J24" s="19"/>
      <c r="K24" s="19"/>
      <c r="L24" s="19"/>
      <c r="M24" s="19"/>
      <c r="N24" s="19"/>
      <c r="O24" s="19"/>
      <c r="P24" s="19"/>
      <c r="Q24" s="41"/>
    </row>
    <row r="25" spans="3:17" s="24" customFormat="1" ht="12.75" hidden="1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41">
        <f>SUM(C25:P25)</f>
        <v>0</v>
      </c>
    </row>
    <row r="26" spans="2:17" s="20" customFormat="1" ht="40.5" customHeight="1" hidden="1">
      <c r="B26" s="37"/>
      <c r="C26" s="26">
        <f>ROUND(C23,1)</f>
        <v>505694.8</v>
      </c>
      <c r="D26" s="26">
        <f aca="true" t="shared" si="9" ref="D26:P26">ROUND(D23,1)</f>
        <v>906251.8</v>
      </c>
      <c r="E26" s="26">
        <f t="shared" si="9"/>
        <v>338967.1</v>
      </c>
      <c r="F26" s="26">
        <f t="shared" si="9"/>
        <v>520750.9</v>
      </c>
      <c r="G26" s="26">
        <f t="shared" si="9"/>
        <v>430501.9</v>
      </c>
      <c r="H26" s="26">
        <f t="shared" si="9"/>
        <v>709100.9</v>
      </c>
      <c r="I26" s="26">
        <f t="shared" si="9"/>
        <v>577780.9</v>
      </c>
      <c r="J26" s="26">
        <f t="shared" si="9"/>
        <v>0</v>
      </c>
      <c r="K26" s="26">
        <f t="shared" si="9"/>
        <v>320638.4</v>
      </c>
      <c r="L26" s="26">
        <f t="shared" si="9"/>
        <v>0</v>
      </c>
      <c r="M26" s="26">
        <f t="shared" si="9"/>
        <v>0</v>
      </c>
      <c r="N26" s="26">
        <f t="shared" si="9"/>
        <v>257877.5</v>
      </c>
      <c r="O26" s="26">
        <f t="shared" si="9"/>
        <v>675360.6</v>
      </c>
      <c r="P26" s="26">
        <f t="shared" si="9"/>
        <v>1940723</v>
      </c>
      <c r="Q26" s="41">
        <f>SUM(C26:P26)</f>
        <v>7183647.8</v>
      </c>
    </row>
    <row r="27" spans="3:17" s="27" customFormat="1" ht="43.5" customHeight="1">
      <c r="C27" s="39"/>
      <c r="D27" s="28"/>
      <c r="E27" s="39"/>
      <c r="F27" s="39"/>
      <c r="G27" s="40"/>
      <c r="H27" s="28"/>
      <c r="I27" s="28"/>
      <c r="J27" s="28"/>
      <c r="K27" s="28"/>
      <c r="L27" s="28"/>
      <c r="M27" s="28"/>
      <c r="N27" s="28"/>
      <c r="O27" s="28"/>
      <c r="P27" s="28"/>
      <c r="Q27" s="101">
        <f>Q14+Q20</f>
        <v>11459113.399999999</v>
      </c>
    </row>
    <row r="28" spans="3:17" s="20" customFormat="1" ht="38.25" customHeight="1">
      <c r="C28" s="22"/>
      <c r="D28" s="21"/>
      <c r="E28" s="22"/>
      <c r="F28" s="21"/>
      <c r="G28" s="22"/>
      <c r="H28" s="21"/>
      <c r="I28" s="22"/>
      <c r="J28" s="21"/>
      <c r="K28" s="21"/>
      <c r="L28" s="21"/>
      <c r="M28" s="21"/>
      <c r="N28" s="21"/>
      <c r="O28" s="21"/>
      <c r="P28" s="21"/>
      <c r="Q28" s="22"/>
    </row>
    <row r="29" spans="3:17" s="20" customFormat="1" ht="38.25" customHeight="1">
      <c r="C29" s="22"/>
      <c r="D29" s="21"/>
      <c r="E29" s="22"/>
      <c r="F29" s="21"/>
      <c r="G29" s="22"/>
      <c r="H29" s="21"/>
      <c r="I29" s="22"/>
      <c r="J29" s="21"/>
      <c r="K29" s="21"/>
      <c r="L29" s="21"/>
      <c r="M29" s="21"/>
      <c r="N29" s="21"/>
      <c r="O29" s="21"/>
      <c r="P29" s="21"/>
      <c r="Q29" s="22"/>
    </row>
    <row r="30" spans="2:17" s="27" customFormat="1" ht="15.75">
      <c r="B30" s="36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</row>
    <row r="31" spans="2:17" s="20" customFormat="1" ht="34.5" customHeight="1">
      <c r="B31" s="37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3:17" s="27" customFormat="1" ht="15.75">
      <c r="C32" s="28"/>
      <c r="D32" s="28"/>
      <c r="E32" s="28"/>
      <c r="F32" s="28"/>
      <c r="G32" s="28"/>
      <c r="H32" s="28"/>
      <c r="I32" s="22"/>
      <c r="J32" s="28"/>
      <c r="K32" s="28"/>
      <c r="L32" s="28"/>
      <c r="M32" s="28"/>
      <c r="N32" s="28"/>
      <c r="O32" s="28"/>
      <c r="P32" s="28"/>
      <c r="Q32" s="28"/>
    </row>
    <row r="33" spans="3:17" s="20" customFormat="1" ht="34.5" customHeight="1">
      <c r="C33" s="22"/>
      <c r="D33" s="22"/>
      <c r="E33" s="22"/>
      <c r="F33" s="22"/>
      <c r="G33" s="22"/>
      <c r="H33" s="22"/>
      <c r="I33" s="22"/>
      <c r="J33" s="38"/>
      <c r="K33" s="22"/>
      <c r="L33" s="22"/>
      <c r="M33" s="22"/>
      <c r="N33" s="22"/>
      <c r="O33" s="22"/>
      <c r="P33" s="22"/>
      <c r="Q33" s="22"/>
    </row>
    <row r="34" spans="3:17" s="27" customFormat="1" ht="27.75" customHeight="1">
      <c r="C34" s="28"/>
      <c r="D34" s="28"/>
      <c r="E34" s="28"/>
      <c r="F34" s="28"/>
      <c r="G34" s="28"/>
      <c r="H34" s="28"/>
      <c r="I34" s="21"/>
      <c r="J34" s="28"/>
      <c r="K34" s="28"/>
      <c r="L34" s="28"/>
      <c r="M34" s="28"/>
      <c r="N34" s="28"/>
      <c r="O34" s="28"/>
      <c r="P34" s="28"/>
      <c r="Q34" s="28"/>
    </row>
    <row r="35" spans="3:17" s="27" customFormat="1" ht="27.75" customHeight="1">
      <c r="C35" s="28"/>
      <c r="D35" s="28"/>
      <c r="E35" s="28"/>
      <c r="F35" s="28"/>
      <c r="G35" s="28"/>
      <c r="H35" s="28"/>
      <c r="I35" s="22"/>
      <c r="J35" s="28"/>
      <c r="K35" s="28"/>
      <c r="L35" s="28"/>
      <c r="M35" s="28"/>
      <c r="N35" s="28"/>
      <c r="O35" s="28"/>
      <c r="P35" s="28"/>
      <c r="Q35" s="28"/>
    </row>
    <row r="36" spans="3:17" s="20" customFormat="1" ht="38.25" customHeight="1">
      <c r="C36" s="21"/>
      <c r="D36" s="21"/>
      <c r="E36" s="22"/>
      <c r="F36" s="21"/>
      <c r="G36" s="21"/>
      <c r="H36" s="21"/>
      <c r="I36" s="22"/>
      <c r="J36" s="21"/>
      <c r="K36" s="21"/>
      <c r="L36" s="21"/>
      <c r="M36" s="21"/>
      <c r="N36" s="21"/>
      <c r="O36" s="21"/>
      <c r="P36" s="21"/>
      <c r="Q36" s="22"/>
    </row>
    <row r="37" spans="3:17" s="27" customFormat="1" ht="12.75"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3:17" s="20" customFormat="1" ht="42" customHeight="1"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</row>
    <row r="39" spans="3:17" s="20" customFormat="1" ht="42" customHeight="1"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</row>
    <row r="40" s="24" customFormat="1" ht="12.75"/>
    <row r="41" s="24" customFormat="1" ht="12.75">
      <c r="Q41" s="30"/>
    </row>
    <row r="42" s="24" customFormat="1" ht="12.75">
      <c r="Q42" s="31"/>
    </row>
    <row r="43" spans="9:11" s="24" customFormat="1" ht="15">
      <c r="I43" s="32"/>
      <c r="K43" s="33"/>
    </row>
    <row r="56" ht="12.75">
      <c r="G56" s="1">
        <v>20</v>
      </c>
    </row>
    <row r="58" spans="6:8" ht="12.75">
      <c r="F58" s="1">
        <v>1</v>
      </c>
      <c r="G58" s="1">
        <v>20</v>
      </c>
      <c r="H58" s="1">
        <f aca="true" t="shared" si="10" ref="H58:H64">F58*$G$56</f>
        <v>20</v>
      </c>
    </row>
    <row r="59" spans="6:8" ht="12.75">
      <c r="F59" s="1">
        <v>2</v>
      </c>
      <c r="G59" s="1">
        <v>20</v>
      </c>
      <c r="H59" s="1">
        <f t="shared" si="10"/>
        <v>40</v>
      </c>
    </row>
    <row r="60" spans="6:8" ht="12.75">
      <c r="F60" s="1">
        <v>3</v>
      </c>
      <c r="G60" s="1">
        <v>30</v>
      </c>
      <c r="H60" s="1">
        <f t="shared" si="10"/>
        <v>60</v>
      </c>
    </row>
    <row r="61" spans="6:8" ht="12.75">
      <c r="F61" s="1">
        <v>4</v>
      </c>
      <c r="G61" s="1">
        <v>20</v>
      </c>
      <c r="H61" s="1">
        <f t="shared" si="10"/>
        <v>80</v>
      </c>
    </row>
    <row r="62" ht="12.75">
      <c r="H62" s="1">
        <f t="shared" si="10"/>
        <v>0</v>
      </c>
    </row>
    <row r="63" ht="12.75">
      <c r="H63" s="1">
        <f t="shared" si="10"/>
        <v>0</v>
      </c>
    </row>
    <row r="64" ht="12.75">
      <c r="H64" s="1">
        <f t="shared" si="10"/>
        <v>0</v>
      </c>
    </row>
  </sheetData>
  <sheetProtection/>
  <protectedRanges>
    <protectedRange sqref="A3:IV3" name="Диапазон1_1_1"/>
    <protectedRange sqref="B14 Q14 B13:Q13" name="Диапазон1_1_3"/>
    <protectedRange sqref="C6:O6" name="Диапазон1_1_4"/>
    <protectedRange sqref="P6" name="Диапазон1_1_5"/>
    <protectedRange sqref="C14:O14" name="Диапазон1_1_2"/>
  </protectedRanges>
  <printOptions/>
  <pageMargins left="0.1968503937007874" right="0.1968503937007874" top="0.15748031496062992" bottom="0.31496062992125984" header="0.15748031496062992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Y64"/>
  <sheetViews>
    <sheetView zoomScale="78" zoomScaleNormal="78" zoomScalePageLayoutView="0" workbookViewId="0" topLeftCell="A1">
      <pane xSplit="2" ySplit="4" topLeftCell="F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4" sqref="B4"/>
    </sheetView>
  </sheetViews>
  <sheetFormatPr defaultColWidth="9.00390625" defaultRowHeight="12.75"/>
  <cols>
    <col min="1" max="1" width="3.875" style="1" customWidth="1"/>
    <col min="2" max="2" width="38.25390625" style="1" customWidth="1"/>
    <col min="3" max="9" width="14.00390625" style="1" customWidth="1"/>
    <col min="10" max="10" width="15.625" style="1" customWidth="1"/>
    <col min="11" max="11" width="14.75390625" style="1" customWidth="1"/>
    <col min="12" max="12" width="17.00390625" style="1" customWidth="1"/>
    <col min="13" max="16" width="14.00390625" style="1" customWidth="1"/>
    <col min="17" max="17" width="16.75390625" style="1" customWidth="1"/>
    <col min="18" max="18" width="15.375" style="1" customWidth="1"/>
    <col min="19" max="19" width="16.625" style="1" customWidth="1"/>
    <col min="20" max="20" width="8.375" style="1" customWidth="1"/>
    <col min="21" max="16384" width="9.125" style="1" customWidth="1"/>
  </cols>
  <sheetData>
    <row r="1" ht="12.75">
      <c r="Q1" s="2"/>
    </row>
    <row r="2" spans="10:17" ht="15">
      <c r="J2" s="3"/>
      <c r="Q2" s="2"/>
    </row>
    <row r="3" spans="2:20" ht="18">
      <c r="B3" s="4" t="s">
        <v>31</v>
      </c>
      <c r="C3" s="5"/>
      <c r="D3" s="6"/>
      <c r="E3" s="5"/>
      <c r="F3" s="5"/>
      <c r="G3" s="5"/>
      <c r="H3" s="6"/>
      <c r="I3" s="5"/>
      <c r="J3" s="5"/>
      <c r="K3" s="5"/>
      <c r="L3" s="5"/>
      <c r="M3" s="5"/>
      <c r="N3" s="5"/>
      <c r="O3" s="5"/>
      <c r="P3" s="5"/>
      <c r="Q3" s="7"/>
      <c r="R3" s="8"/>
      <c r="S3" s="8"/>
      <c r="T3" s="8"/>
    </row>
    <row r="4" spans="2:24" ht="33.75" customHeight="1" thickBot="1">
      <c r="B4" s="9" t="s">
        <v>0</v>
      </c>
      <c r="C4" s="34" t="s">
        <v>3</v>
      </c>
      <c r="D4" s="34" t="s">
        <v>4</v>
      </c>
      <c r="E4" s="34" t="s">
        <v>5</v>
      </c>
      <c r="F4" s="34" t="s">
        <v>6</v>
      </c>
      <c r="G4" s="34" t="s">
        <v>7</v>
      </c>
      <c r="H4" s="34" t="s">
        <v>8</v>
      </c>
      <c r="I4" s="34" t="s">
        <v>9</v>
      </c>
      <c r="J4" s="34" t="s">
        <v>10</v>
      </c>
      <c r="K4" s="34" t="s">
        <v>11</v>
      </c>
      <c r="L4" s="34" t="s">
        <v>12</v>
      </c>
      <c r="M4" s="34" t="s">
        <v>13</v>
      </c>
      <c r="N4" s="34" t="s">
        <v>14</v>
      </c>
      <c r="O4" s="34" t="s">
        <v>15</v>
      </c>
      <c r="P4" s="34" t="s">
        <v>16</v>
      </c>
      <c r="Q4" s="10" t="s">
        <v>1</v>
      </c>
      <c r="R4" s="11"/>
      <c r="S4" s="11"/>
      <c r="T4" s="11"/>
      <c r="U4" s="12"/>
      <c r="V4" s="12"/>
      <c r="W4" s="12"/>
      <c r="X4" s="12"/>
    </row>
    <row r="5" spans="2:24" ht="30.75" customHeight="1">
      <c r="B5" s="85" t="s">
        <v>17</v>
      </c>
      <c r="C5" s="86">
        <v>131954</v>
      </c>
      <c r="D5" s="86">
        <v>423841</v>
      </c>
      <c r="E5" s="86">
        <v>739392</v>
      </c>
      <c r="F5" s="86">
        <v>381061</v>
      </c>
      <c r="G5" s="86">
        <v>281433</v>
      </c>
      <c r="H5" s="86">
        <v>460168</v>
      </c>
      <c r="I5" s="86">
        <v>245341</v>
      </c>
      <c r="J5" s="86">
        <v>7129958</v>
      </c>
      <c r="K5" s="86">
        <v>172954</v>
      </c>
      <c r="L5" s="86">
        <v>3724688</v>
      </c>
      <c r="M5" s="86">
        <v>1931307</v>
      </c>
      <c r="N5" s="86">
        <v>753579</v>
      </c>
      <c r="O5" s="86">
        <v>299066</v>
      </c>
      <c r="P5" s="86">
        <v>2657196</v>
      </c>
      <c r="Q5" s="87">
        <f>SUM(C5:P5)</f>
        <v>19331938</v>
      </c>
      <c r="R5" s="13"/>
      <c r="S5" s="13"/>
      <c r="T5" s="11"/>
      <c r="U5" s="12"/>
      <c r="V5" s="12"/>
      <c r="W5" s="12"/>
      <c r="X5" s="12"/>
    </row>
    <row r="6" spans="2:23" s="15" customFormat="1" ht="30.75" customHeight="1">
      <c r="B6" s="104" t="s">
        <v>29</v>
      </c>
      <c r="C6" s="105">
        <v>366</v>
      </c>
      <c r="D6" s="105">
        <v>1147</v>
      </c>
      <c r="E6" s="105">
        <v>1291</v>
      </c>
      <c r="F6" s="105">
        <v>1006</v>
      </c>
      <c r="G6" s="105">
        <v>332</v>
      </c>
      <c r="H6" s="105">
        <v>778</v>
      </c>
      <c r="I6" s="105">
        <v>331</v>
      </c>
      <c r="J6" s="105">
        <v>5654</v>
      </c>
      <c r="K6" s="105">
        <v>186</v>
      </c>
      <c r="L6" s="105">
        <v>1993</v>
      </c>
      <c r="M6" s="105">
        <v>1987</v>
      </c>
      <c r="N6" s="105">
        <v>1430</v>
      </c>
      <c r="O6" s="105">
        <v>499</v>
      </c>
      <c r="P6" s="106">
        <v>3496</v>
      </c>
      <c r="Q6" s="107">
        <f>SUM(C6:P6)</f>
        <v>20496</v>
      </c>
      <c r="R6" s="88"/>
      <c r="S6" s="88"/>
      <c r="T6" s="89"/>
      <c r="U6" s="90"/>
      <c r="V6" s="90"/>
      <c r="W6" s="90"/>
    </row>
    <row r="7" spans="2:23" ht="24" customHeight="1">
      <c r="B7" s="50" t="s">
        <v>18</v>
      </c>
      <c r="C7" s="51">
        <f>C5/C6</f>
        <v>360.53005464480873</v>
      </c>
      <c r="D7" s="51">
        <f>D5/D6</f>
        <v>369.5213600697472</v>
      </c>
      <c r="E7" s="51">
        <f>E5/E6</f>
        <v>572.7281177381875</v>
      </c>
      <c r="F7" s="51">
        <f>F5/F6</f>
        <v>378.7882703777336</v>
      </c>
      <c r="G7" s="51">
        <f aca="true" t="shared" si="0" ref="G7:O7">G5/G6</f>
        <v>847.6897590361446</v>
      </c>
      <c r="H7" s="51">
        <f>H5/H6</f>
        <v>591.4755784061697</v>
      </c>
      <c r="I7" s="51">
        <f t="shared" si="0"/>
        <v>741.2114803625377</v>
      </c>
      <c r="J7" s="51">
        <f>J5/J6</f>
        <v>1261.046692607004</v>
      </c>
      <c r="K7" s="51">
        <f t="shared" si="0"/>
        <v>929.8602150537635</v>
      </c>
      <c r="L7" s="51">
        <f t="shared" si="0"/>
        <v>1868.8850978424487</v>
      </c>
      <c r="M7" s="51">
        <f t="shared" si="0"/>
        <v>971.9713135379969</v>
      </c>
      <c r="N7" s="51">
        <f>N5/N6</f>
        <v>526.9783216783217</v>
      </c>
      <c r="O7" s="51">
        <f t="shared" si="0"/>
        <v>599.3306613226453</v>
      </c>
      <c r="P7" s="51">
        <f>P5/P6</f>
        <v>760.0675057208238</v>
      </c>
      <c r="Q7" s="52">
        <f>Q5/Q6</f>
        <v>943.205405932865</v>
      </c>
      <c r="R7" s="47"/>
      <c r="S7" s="47"/>
      <c r="T7" s="48"/>
      <c r="U7" s="49"/>
      <c r="V7" s="49"/>
      <c r="W7" s="49"/>
    </row>
    <row r="8" spans="2:23" ht="24" customHeight="1">
      <c r="B8" s="50" t="s">
        <v>19</v>
      </c>
      <c r="C8" s="53">
        <f>C7/$Q$7</f>
        <v>0.3822391733306821</v>
      </c>
      <c r="D8" s="53">
        <f aca="true" t="shared" si="1" ref="D8:Q8">D7/$Q$7</f>
        <v>0.3917718852600054</v>
      </c>
      <c r="E8" s="53">
        <f t="shared" si="1"/>
        <v>0.6072146259294795</v>
      </c>
      <c r="F8" s="53">
        <f t="shared" si="1"/>
        <v>0.40159679746862564</v>
      </c>
      <c r="G8" s="53">
        <f t="shared" si="1"/>
        <v>0.8987329310286851</v>
      </c>
      <c r="H8" s="53">
        <f t="shared" si="1"/>
        <v>0.6270909546168032</v>
      </c>
      <c r="I8" s="53">
        <f>I7/$Q$7</f>
        <v>0.7858431214454843</v>
      </c>
      <c r="J8" s="53">
        <f t="shared" si="1"/>
        <v>1.3369799247066254</v>
      </c>
      <c r="K8" s="53">
        <f>K7/$Q$7</f>
        <v>0.9858512358017046</v>
      </c>
      <c r="L8" s="53">
        <f t="shared" si="1"/>
        <v>1.9814189847587358</v>
      </c>
      <c r="M8" s="53">
        <f t="shared" si="1"/>
        <v>1.0304980308893388</v>
      </c>
      <c r="N8" s="53">
        <f t="shared" si="1"/>
        <v>0.5587100310956346</v>
      </c>
      <c r="O8" s="53">
        <f t="shared" si="1"/>
        <v>0.6354190270250679</v>
      </c>
      <c r="P8" s="53">
        <f>P7/$Q$7</f>
        <v>0.8058345519861486</v>
      </c>
      <c r="Q8" s="54">
        <f t="shared" si="1"/>
        <v>1</v>
      </c>
      <c r="R8" s="55"/>
      <c r="S8" s="47"/>
      <c r="T8" s="48"/>
      <c r="U8" s="49"/>
      <c r="V8" s="49"/>
      <c r="W8" s="49"/>
    </row>
    <row r="9" spans="2:23" s="76" customFormat="1" ht="24" customHeight="1">
      <c r="B9" s="108" t="s">
        <v>20</v>
      </c>
      <c r="C9" s="109">
        <v>1.911</v>
      </c>
      <c r="D9" s="109">
        <v>1.27</v>
      </c>
      <c r="E9" s="109">
        <v>0.91</v>
      </c>
      <c r="F9" s="109">
        <v>0.983</v>
      </c>
      <c r="G9" s="109">
        <v>2.356</v>
      </c>
      <c r="H9" s="109">
        <v>1.65</v>
      </c>
      <c r="I9" s="109">
        <v>2.733</v>
      </c>
      <c r="J9" s="109">
        <v>0.495</v>
      </c>
      <c r="K9" s="109">
        <v>2.92</v>
      </c>
      <c r="L9" s="109">
        <v>0.414</v>
      </c>
      <c r="M9" s="109">
        <v>0.961</v>
      </c>
      <c r="N9" s="109">
        <v>0.761</v>
      </c>
      <c r="O9" s="109">
        <v>2.144</v>
      </c>
      <c r="P9" s="109">
        <v>1.422</v>
      </c>
      <c r="Q9" s="93">
        <v>1</v>
      </c>
      <c r="R9" s="94"/>
      <c r="S9" s="14"/>
      <c r="T9" s="43"/>
      <c r="U9" s="43"/>
      <c r="V9" s="43"/>
      <c r="W9" s="43"/>
    </row>
    <row r="10" spans="2:23" ht="24" customHeight="1">
      <c r="B10" s="58" t="s">
        <v>21</v>
      </c>
      <c r="C10" s="59">
        <f>C8/C9</f>
        <v>0.20002049886482579</v>
      </c>
      <c r="D10" s="59">
        <f aca="true" t="shared" si="2" ref="D10:N10">D8/D9</f>
        <v>0.30848179941732706</v>
      </c>
      <c r="E10" s="59">
        <f>E8/E9</f>
        <v>0.6672688197027247</v>
      </c>
      <c r="F10" s="59">
        <f t="shared" si="2"/>
        <v>0.408542011666964</v>
      </c>
      <c r="G10" s="59">
        <f t="shared" si="2"/>
        <v>0.3814655904196457</v>
      </c>
      <c r="H10" s="59">
        <f>H8/H9</f>
        <v>0.38005512401018376</v>
      </c>
      <c r="I10" s="59">
        <f t="shared" si="2"/>
        <v>0.2875386467052632</v>
      </c>
      <c r="J10" s="59">
        <f t="shared" si="2"/>
        <v>2.7009695448618696</v>
      </c>
      <c r="K10" s="59">
        <f>K8/K9</f>
        <v>0.3376202862334605</v>
      </c>
      <c r="L10" s="59">
        <f t="shared" si="2"/>
        <v>4.786036195069411</v>
      </c>
      <c r="M10" s="59">
        <f t="shared" si="2"/>
        <v>1.0723184504571683</v>
      </c>
      <c r="N10" s="59">
        <f t="shared" si="2"/>
        <v>0.7341787530823056</v>
      </c>
      <c r="O10" s="59">
        <f>O8/O9</f>
        <v>0.29637081484378164</v>
      </c>
      <c r="P10" s="59">
        <f>P8/P9</f>
        <v>0.5666909648285152</v>
      </c>
      <c r="Q10" s="79">
        <f>Q8/Q9</f>
        <v>1</v>
      </c>
      <c r="R10" s="56"/>
      <c r="S10" s="57"/>
      <c r="T10" s="49"/>
      <c r="U10" s="49"/>
      <c r="V10" s="49"/>
      <c r="W10" s="49"/>
    </row>
    <row r="11" spans="2:23" ht="24" customHeight="1">
      <c r="B11" s="60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80"/>
      <c r="R11" s="56"/>
      <c r="S11" s="57"/>
      <c r="T11" s="49"/>
      <c r="U11" s="49"/>
      <c r="V11" s="49"/>
      <c r="W11" s="49"/>
    </row>
    <row r="12" spans="2:23" ht="24" customHeight="1">
      <c r="B12" s="62" t="s">
        <v>27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81"/>
      <c r="R12" s="56"/>
      <c r="S12" s="57"/>
      <c r="T12" s="49"/>
      <c r="U12" s="49"/>
      <c r="V12" s="49"/>
      <c r="W12" s="49"/>
    </row>
    <row r="13" spans="2:23" ht="39" customHeight="1">
      <c r="B13" s="112" t="s">
        <v>26</v>
      </c>
      <c r="C13" s="113">
        <v>208.6</v>
      </c>
      <c r="D13" s="113">
        <v>208.6</v>
      </c>
      <c r="E13" s="113">
        <v>208.6</v>
      </c>
      <c r="F13" s="113">
        <v>208.6</v>
      </c>
      <c r="G13" s="113">
        <v>208.6</v>
      </c>
      <c r="H13" s="113">
        <v>208.6</v>
      </c>
      <c r="I13" s="113">
        <v>208.6</v>
      </c>
      <c r="J13" s="113">
        <v>208.6</v>
      </c>
      <c r="K13" s="113">
        <v>208.6</v>
      </c>
      <c r="L13" s="113">
        <v>208.6</v>
      </c>
      <c r="M13" s="113">
        <v>208.6</v>
      </c>
      <c r="N13" s="113">
        <v>208.6</v>
      </c>
      <c r="O13" s="113">
        <v>208.6</v>
      </c>
      <c r="P13" s="113">
        <v>208.6</v>
      </c>
      <c r="Q13" s="91"/>
      <c r="R13" s="56"/>
      <c r="S13" s="57"/>
      <c r="T13" s="49"/>
      <c r="U13" s="49"/>
      <c r="V13" s="49"/>
      <c r="W13" s="49"/>
    </row>
    <row r="14" spans="2:23" ht="24" customHeight="1">
      <c r="B14" s="71" t="s">
        <v>2</v>
      </c>
      <c r="C14" s="102">
        <f>ROUND(C13*C6,1)*0.8</f>
        <v>61078.08000000001</v>
      </c>
      <c r="D14" s="102">
        <f>ROUND(D13*D6,1)*0.8</f>
        <v>191411.36000000002</v>
      </c>
      <c r="E14" s="102">
        <f>ROUND(E13*E6,1)*0.8</f>
        <v>215442.08</v>
      </c>
      <c r="F14" s="102">
        <f>ROUND(F13*F6,1)*0.8</f>
        <v>167881.28000000003</v>
      </c>
      <c r="G14" s="102">
        <f>ROUND(G13*G6,1)*0.8</f>
        <v>55404.16</v>
      </c>
      <c r="H14" s="102">
        <f>ROUND(H13*H6,1)*0.8+798.08</f>
        <v>130630.72</v>
      </c>
      <c r="I14" s="102">
        <f>ROUND(I13*I6,1)*0.8+1893.6</f>
        <v>57130.880000000005</v>
      </c>
      <c r="J14" s="102">
        <f>ROUND(J13*J6,1)*0.8</f>
        <v>943539.52</v>
      </c>
      <c r="K14" s="102">
        <f>ROUND(K13*K6,1)*0.8+2500.64</f>
        <v>33540.32</v>
      </c>
      <c r="L14" s="103">
        <f>ROUND(L13*L6,1)*0.8</f>
        <v>332591.84</v>
      </c>
      <c r="M14" s="102">
        <f>ROUND(M13*M6,1)*0.8</f>
        <v>331590.56000000006</v>
      </c>
      <c r="N14" s="102">
        <f>ROUND(N13*N6,1)*0.8</f>
        <v>238638.40000000002</v>
      </c>
      <c r="O14" s="102">
        <f>ROUND(O13*O6,1)*0.8+4028</f>
        <v>87301.12</v>
      </c>
      <c r="P14" s="102">
        <f>ROUND(P13*P6,1)*0.8</f>
        <v>583412.48</v>
      </c>
      <c r="Q14" s="92">
        <f>SUM(C14:P14)</f>
        <v>3429592.8000000003</v>
      </c>
      <c r="R14" s="56"/>
      <c r="S14" s="57"/>
      <c r="T14" s="49"/>
      <c r="U14" s="49"/>
      <c r="V14" s="49"/>
      <c r="W14" s="49"/>
    </row>
    <row r="15" spans="2:23" ht="15" customHeight="1"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82"/>
      <c r="R15" s="56"/>
      <c r="S15" s="57"/>
      <c r="T15" s="49"/>
      <c r="U15" s="49"/>
      <c r="V15" s="49"/>
      <c r="W15" s="49"/>
    </row>
    <row r="16" spans="2:20" ht="27" customHeight="1">
      <c r="B16" s="62" t="s">
        <v>28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81"/>
      <c r="R16" s="14"/>
      <c r="S16" s="75"/>
      <c r="T16" s="76"/>
    </row>
    <row r="17" spans="2:25" ht="24" customHeight="1">
      <c r="B17" s="65" t="s">
        <v>22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83">
        <f>(Q5+S17)/Q5</f>
        <v>1</v>
      </c>
      <c r="R17" s="14"/>
      <c r="S17" s="72"/>
      <c r="T17" s="67"/>
      <c r="U17" s="49"/>
      <c r="V17" s="49"/>
      <c r="W17" s="49"/>
      <c r="X17" s="49"/>
      <c r="Y17" s="49"/>
    </row>
    <row r="18" spans="2:25" ht="39" customHeight="1">
      <c r="B18" s="68" t="s">
        <v>23</v>
      </c>
      <c r="C18" s="95">
        <f>IF(C10&lt;$Q$17,$Q$5/$Q$6*($Q$17-C10)*C9*C6,0)</f>
        <v>527748.3842500001</v>
      </c>
      <c r="D18" s="95">
        <f aca="true" t="shared" si="3" ref="D18:P18">IF(D10&lt;$Q$17,$Q$5/$Q$6*($Q$17-D10)*D9*D6,0)</f>
        <v>950116.8827683452</v>
      </c>
      <c r="E18" s="95">
        <f t="shared" si="3"/>
        <v>368695.14294398914</v>
      </c>
      <c r="F18" s="95">
        <f t="shared" si="3"/>
        <v>551672.9395161984</v>
      </c>
      <c r="G18" s="95">
        <f t="shared" si="3"/>
        <v>456334.7228774396</v>
      </c>
      <c r="H18" s="95">
        <f t="shared" si="3"/>
        <v>750624.779596019</v>
      </c>
      <c r="I18" s="95">
        <f>IF(I10&lt;$Q$17,$Q$5/$Q$6*($Q$17-I10)*I9*I6,0)</f>
        <v>607904.3039312061</v>
      </c>
      <c r="J18" s="95">
        <f t="shared" si="3"/>
        <v>0</v>
      </c>
      <c r="K18" s="95">
        <f t="shared" si="3"/>
        <v>339319.72007025767</v>
      </c>
      <c r="L18" s="95">
        <f t="shared" si="3"/>
        <v>0</v>
      </c>
      <c r="M18" s="95">
        <f t="shared" si="3"/>
        <v>0</v>
      </c>
      <c r="N18" s="95">
        <f t="shared" si="3"/>
        <v>272845.41889832175</v>
      </c>
      <c r="O18" s="95">
        <f t="shared" si="3"/>
        <v>710027.9627697114</v>
      </c>
      <c r="P18" s="95">
        <f t="shared" si="3"/>
        <v>2031772.3529789231</v>
      </c>
      <c r="Q18" s="96">
        <f>SUM(C18:P18)</f>
        <v>7567062.610600412</v>
      </c>
      <c r="R18" s="14"/>
      <c r="S18" s="77"/>
      <c r="T18" s="43"/>
      <c r="U18" s="49"/>
      <c r="V18" s="49"/>
      <c r="W18" s="49"/>
      <c r="X18" s="49"/>
      <c r="Y18" s="49"/>
    </row>
    <row r="19" spans="2:20" ht="39.75" customHeight="1">
      <c r="B19" s="69" t="s">
        <v>24</v>
      </c>
      <c r="C19" s="97">
        <f>C18</f>
        <v>527748.3842500001</v>
      </c>
      <c r="D19" s="97">
        <f>D18</f>
        <v>950116.8827683452</v>
      </c>
      <c r="E19" s="97">
        <f aca="true" t="shared" si="4" ref="E19:P19">E18</f>
        <v>368695.14294398914</v>
      </c>
      <c r="F19" s="97">
        <f t="shared" si="4"/>
        <v>551672.9395161984</v>
      </c>
      <c r="G19" s="97">
        <f t="shared" si="4"/>
        <v>456334.7228774396</v>
      </c>
      <c r="H19" s="97">
        <f t="shared" si="4"/>
        <v>750624.779596019</v>
      </c>
      <c r="I19" s="97">
        <f t="shared" si="4"/>
        <v>607904.3039312061</v>
      </c>
      <c r="J19" s="97">
        <f t="shared" si="4"/>
        <v>0</v>
      </c>
      <c r="K19" s="97">
        <f t="shared" si="4"/>
        <v>339319.72007025767</v>
      </c>
      <c r="L19" s="97">
        <f>L18</f>
        <v>0</v>
      </c>
      <c r="M19" s="97">
        <f t="shared" si="4"/>
        <v>0</v>
      </c>
      <c r="N19" s="97">
        <f t="shared" si="4"/>
        <v>272845.41889832175</v>
      </c>
      <c r="O19" s="97">
        <f t="shared" si="4"/>
        <v>710027.9627697114</v>
      </c>
      <c r="P19" s="97">
        <f t="shared" si="4"/>
        <v>2031772.3529789231</v>
      </c>
      <c r="Q19" s="98">
        <f>SUM(C19:P19)</f>
        <v>7567062.610600412</v>
      </c>
      <c r="R19" s="14"/>
      <c r="S19" s="78"/>
      <c r="T19" s="76"/>
    </row>
    <row r="20" spans="2:20" ht="29.25" customHeight="1">
      <c r="B20" s="69" t="s">
        <v>2</v>
      </c>
      <c r="C20" s="99">
        <f aca="true" t="shared" si="5" ref="C20:L20">ROUND(C19,1)</f>
        <v>527748.4</v>
      </c>
      <c r="D20" s="99">
        <f t="shared" si="5"/>
        <v>950116.9</v>
      </c>
      <c r="E20" s="99">
        <f>ROUND(E19,1)</f>
        <v>368695.1</v>
      </c>
      <c r="F20" s="99">
        <f t="shared" si="5"/>
        <v>551672.9</v>
      </c>
      <c r="G20" s="99">
        <f t="shared" si="5"/>
        <v>456334.7</v>
      </c>
      <c r="H20" s="99">
        <f t="shared" si="5"/>
        <v>750624.8</v>
      </c>
      <c r="I20" s="99">
        <f t="shared" si="5"/>
        <v>607904.3</v>
      </c>
      <c r="J20" s="99">
        <f t="shared" si="5"/>
        <v>0</v>
      </c>
      <c r="K20" s="99">
        <f t="shared" si="5"/>
        <v>339319.7</v>
      </c>
      <c r="L20" s="99">
        <f t="shared" si="5"/>
        <v>0</v>
      </c>
      <c r="M20" s="99">
        <f>ROUND(M19,1)</f>
        <v>0</v>
      </c>
      <c r="N20" s="99">
        <f>ROUND(N19,1)</f>
        <v>272845.4</v>
      </c>
      <c r="O20" s="99">
        <f>ROUND(O19,1)</f>
        <v>710028</v>
      </c>
      <c r="P20" s="99">
        <f>ROUND(P19,1)</f>
        <v>2031772.4</v>
      </c>
      <c r="Q20" s="100">
        <f>SUM(C20:P20)</f>
        <v>7567062.6</v>
      </c>
      <c r="R20" s="14"/>
      <c r="S20" s="45"/>
      <c r="T20" s="64"/>
    </row>
    <row r="21" spans="2:20" s="15" customFormat="1" ht="29.25" customHeight="1">
      <c r="B21" s="70" t="s">
        <v>25</v>
      </c>
      <c r="C21" s="59">
        <f>((C5+C20)/C6)/($Q$5/$Q$6)/C9</f>
        <v>1.000000023874402</v>
      </c>
      <c r="D21" s="59">
        <f aca="true" t="shared" si="6" ref="D21:P21">((D5+D20)/D6)/($Q$5/$Q$6)/D9</f>
        <v>1.0000000125416177</v>
      </c>
      <c r="E21" s="59">
        <f t="shared" si="6"/>
        <v>0.9999999612449352</v>
      </c>
      <c r="F21" s="59">
        <f t="shared" si="6"/>
        <v>0.9999999576340083</v>
      </c>
      <c r="G21" s="59">
        <f t="shared" si="6"/>
        <v>0.9999999689909997</v>
      </c>
      <c r="H21" s="59">
        <f t="shared" si="6"/>
        <v>1.0000000168517533</v>
      </c>
      <c r="I21" s="59">
        <f t="shared" si="6"/>
        <v>0.9999999953926425</v>
      </c>
      <c r="J21" s="59">
        <f t="shared" si="6"/>
        <v>2.7009695448618696</v>
      </c>
      <c r="K21" s="59">
        <f t="shared" si="6"/>
        <v>0.9999999608212234</v>
      </c>
      <c r="L21" s="59">
        <f t="shared" si="6"/>
        <v>4.786036195069411</v>
      </c>
      <c r="M21" s="59">
        <f t="shared" si="6"/>
        <v>1.0723184504571683</v>
      </c>
      <c r="N21" s="59">
        <f t="shared" si="6"/>
        <v>0.9999999815881995</v>
      </c>
      <c r="O21" s="59">
        <f t="shared" si="6"/>
        <v>1.0000000368947692</v>
      </c>
      <c r="P21" s="59">
        <f t="shared" si="6"/>
        <v>1.0000000100280217</v>
      </c>
      <c r="Q21" s="84"/>
      <c r="R21" s="44"/>
      <c r="S21" s="46"/>
      <c r="T21" s="44"/>
    </row>
    <row r="22" spans="2:20" s="15" customFormat="1" ht="29.25" customHeight="1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44"/>
      <c r="S22" s="46"/>
      <c r="T22" s="44"/>
    </row>
    <row r="23" spans="3:19" s="15" customFormat="1" ht="29.25" customHeight="1" hidden="1">
      <c r="C23" s="41">
        <f>IF(C10&lt;$Q$17,$Q$5/$Q$6*($Q$17-C10)*C9*C6,0)</f>
        <v>527748.3842500001</v>
      </c>
      <c r="D23" s="41">
        <f aca="true" t="shared" si="7" ref="D23:P23">IF(D10&lt;$Q$17,$Q$5/$Q$6*($Q$17-D10)*D9*D6,0)</f>
        <v>950116.8827683452</v>
      </c>
      <c r="E23" s="41">
        <f t="shared" si="7"/>
        <v>368695.14294398914</v>
      </c>
      <c r="F23" s="41">
        <f t="shared" si="7"/>
        <v>551672.9395161984</v>
      </c>
      <c r="G23" s="41">
        <f t="shared" si="7"/>
        <v>456334.7228774396</v>
      </c>
      <c r="H23" s="41">
        <f t="shared" si="7"/>
        <v>750624.779596019</v>
      </c>
      <c r="I23" s="41">
        <f t="shared" si="7"/>
        <v>607904.3039312061</v>
      </c>
      <c r="J23" s="41">
        <f t="shared" si="7"/>
        <v>0</v>
      </c>
      <c r="K23" s="41">
        <f t="shared" si="7"/>
        <v>339319.72007025767</v>
      </c>
      <c r="L23" s="41">
        <f t="shared" si="7"/>
        <v>0</v>
      </c>
      <c r="M23" s="41">
        <f t="shared" si="7"/>
        <v>0</v>
      </c>
      <c r="N23" s="41">
        <f t="shared" si="7"/>
        <v>272845.41889832175</v>
      </c>
      <c r="O23" s="41">
        <f t="shared" si="7"/>
        <v>710027.9627697114</v>
      </c>
      <c r="P23" s="41">
        <f t="shared" si="7"/>
        <v>2031772.3529789231</v>
      </c>
      <c r="Q23" s="41">
        <f>SUM(C23:P23)</f>
        <v>7567062.610600412</v>
      </c>
      <c r="S23" s="42"/>
    </row>
    <row r="24" spans="2:17" s="23" customFormat="1" ht="42" customHeight="1" hidden="1">
      <c r="B24" s="18"/>
      <c r="C24" s="35">
        <f>Q5/Q6*(Q17-C10)*C9*C6</f>
        <v>527748.3842500001</v>
      </c>
      <c r="D24" s="19">
        <f>Q5/Q6*(Q17-D10)*D9*D6</f>
        <v>950116.8827683452</v>
      </c>
      <c r="E24" s="19">
        <f>Q5/Q6*(1-E10)*E9*E6</f>
        <v>368695.14294398914</v>
      </c>
      <c r="F24" s="19">
        <f>Q5/Q6*(1-F10)*F9*F6</f>
        <v>551672.9395161984</v>
      </c>
      <c r="G24" s="35">
        <f>Q5/Q6*(1-G10)*G9*G6</f>
        <v>456334.7228774396</v>
      </c>
      <c r="H24" s="19">
        <f>Q5/Q6*(1-H10)*H9*H6</f>
        <v>750624.779596019</v>
      </c>
      <c r="I24" s="35">
        <f>Q5/Q6*(1-I10)*I9*I6</f>
        <v>607904.3039312061</v>
      </c>
      <c r="J24" s="19"/>
      <c r="K24" s="19"/>
      <c r="L24" s="19"/>
      <c r="M24" s="19"/>
      <c r="N24" s="19"/>
      <c r="O24" s="19"/>
      <c r="P24" s="19"/>
      <c r="Q24" s="41"/>
    </row>
    <row r="25" spans="3:17" s="24" customFormat="1" ht="12.75" hidden="1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41">
        <f>SUM(C25:P25)</f>
        <v>0</v>
      </c>
    </row>
    <row r="26" spans="2:17" s="20" customFormat="1" ht="40.5" customHeight="1" hidden="1">
      <c r="B26" s="37"/>
      <c r="C26" s="26">
        <f>ROUND(C23,1)</f>
        <v>527748.4</v>
      </c>
      <c r="D26" s="26">
        <f aca="true" t="shared" si="8" ref="D26:P26">ROUND(D23,1)</f>
        <v>950116.9</v>
      </c>
      <c r="E26" s="26">
        <f t="shared" si="8"/>
        <v>368695.1</v>
      </c>
      <c r="F26" s="26">
        <f t="shared" si="8"/>
        <v>551672.9</v>
      </c>
      <c r="G26" s="26">
        <f t="shared" si="8"/>
        <v>456334.7</v>
      </c>
      <c r="H26" s="26">
        <f t="shared" si="8"/>
        <v>750624.8</v>
      </c>
      <c r="I26" s="26">
        <f t="shared" si="8"/>
        <v>607904.3</v>
      </c>
      <c r="J26" s="26">
        <f t="shared" si="8"/>
        <v>0</v>
      </c>
      <c r="K26" s="26">
        <f t="shared" si="8"/>
        <v>339319.7</v>
      </c>
      <c r="L26" s="26">
        <f t="shared" si="8"/>
        <v>0</v>
      </c>
      <c r="M26" s="26">
        <f t="shared" si="8"/>
        <v>0</v>
      </c>
      <c r="N26" s="26">
        <f t="shared" si="8"/>
        <v>272845.4</v>
      </c>
      <c r="O26" s="26">
        <f t="shared" si="8"/>
        <v>710028</v>
      </c>
      <c r="P26" s="26">
        <f t="shared" si="8"/>
        <v>2031772.4</v>
      </c>
      <c r="Q26" s="41">
        <f>SUM(C26:P26)</f>
        <v>7567062.6</v>
      </c>
    </row>
    <row r="27" spans="3:17" s="27" customFormat="1" ht="43.5" customHeight="1">
      <c r="C27" s="39"/>
      <c r="D27" s="28"/>
      <c r="E27" s="39"/>
      <c r="F27" s="39"/>
      <c r="G27" s="40"/>
      <c r="H27" s="28"/>
      <c r="I27" s="28"/>
      <c r="J27" s="28"/>
      <c r="K27" s="28"/>
      <c r="L27" s="28"/>
      <c r="M27" s="28"/>
      <c r="N27" s="28"/>
      <c r="O27" s="28"/>
      <c r="P27" s="28"/>
      <c r="Q27" s="101">
        <f>Q14+Q20</f>
        <v>10996655.4</v>
      </c>
    </row>
    <row r="28" spans="3:17" s="20" customFormat="1" ht="38.25" customHeight="1">
      <c r="C28" s="22"/>
      <c r="D28" s="21"/>
      <c r="E28" s="22"/>
      <c r="F28" s="21"/>
      <c r="G28" s="22"/>
      <c r="H28" s="21"/>
      <c r="I28" s="22"/>
      <c r="J28" s="21"/>
      <c r="K28" s="21"/>
      <c r="L28" s="21"/>
      <c r="M28" s="21"/>
      <c r="N28" s="21"/>
      <c r="O28" s="21"/>
      <c r="P28" s="21"/>
      <c r="Q28" s="22"/>
    </row>
    <row r="29" spans="3:17" s="20" customFormat="1" ht="38.25" customHeight="1">
      <c r="C29" s="22"/>
      <c r="D29" s="21"/>
      <c r="E29" s="22"/>
      <c r="F29" s="21"/>
      <c r="G29" s="22"/>
      <c r="H29" s="21"/>
      <c r="I29" s="22"/>
      <c r="J29" s="21"/>
      <c r="K29" s="21"/>
      <c r="L29" s="21"/>
      <c r="M29" s="21"/>
      <c r="N29" s="21"/>
      <c r="O29" s="21"/>
      <c r="P29" s="21"/>
      <c r="Q29" s="22"/>
    </row>
    <row r="30" spans="2:17" s="27" customFormat="1" ht="15.75">
      <c r="B30" s="36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</row>
    <row r="31" spans="2:17" s="20" customFormat="1" ht="34.5" customHeight="1">
      <c r="B31" s="37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3:17" s="27" customFormat="1" ht="15.75">
      <c r="C32" s="28"/>
      <c r="D32" s="28"/>
      <c r="E32" s="28"/>
      <c r="F32" s="28"/>
      <c r="G32" s="28"/>
      <c r="H32" s="28"/>
      <c r="I32" s="22"/>
      <c r="J32" s="28"/>
      <c r="K32" s="28"/>
      <c r="L32" s="28"/>
      <c r="M32" s="28"/>
      <c r="N32" s="28"/>
      <c r="O32" s="28"/>
      <c r="P32" s="28"/>
      <c r="Q32" s="28"/>
    </row>
    <row r="33" spans="3:17" s="20" customFormat="1" ht="34.5" customHeight="1">
      <c r="C33" s="22"/>
      <c r="D33" s="22"/>
      <c r="E33" s="22"/>
      <c r="F33" s="22"/>
      <c r="G33" s="22"/>
      <c r="H33" s="22"/>
      <c r="I33" s="22"/>
      <c r="J33" s="38"/>
      <c r="K33" s="22"/>
      <c r="L33" s="22"/>
      <c r="M33" s="22"/>
      <c r="N33" s="22"/>
      <c r="O33" s="22"/>
      <c r="P33" s="22"/>
      <c r="Q33" s="22"/>
    </row>
    <row r="34" spans="3:17" s="27" customFormat="1" ht="27.75" customHeight="1">
      <c r="C34" s="28"/>
      <c r="D34" s="28"/>
      <c r="E34" s="28"/>
      <c r="F34" s="28"/>
      <c r="G34" s="28"/>
      <c r="H34" s="28"/>
      <c r="I34" s="21"/>
      <c r="J34" s="28"/>
      <c r="K34" s="28"/>
      <c r="L34" s="28"/>
      <c r="M34" s="28"/>
      <c r="N34" s="28"/>
      <c r="O34" s="28"/>
      <c r="P34" s="28"/>
      <c r="Q34" s="28"/>
    </row>
    <row r="35" spans="3:17" s="27" customFormat="1" ht="27.75" customHeight="1">
      <c r="C35" s="28"/>
      <c r="D35" s="28"/>
      <c r="E35" s="28"/>
      <c r="F35" s="28"/>
      <c r="G35" s="28"/>
      <c r="H35" s="28"/>
      <c r="I35" s="22"/>
      <c r="J35" s="28"/>
      <c r="K35" s="28"/>
      <c r="L35" s="28"/>
      <c r="M35" s="28"/>
      <c r="N35" s="28"/>
      <c r="O35" s="28"/>
      <c r="P35" s="28"/>
      <c r="Q35" s="28"/>
    </row>
    <row r="36" spans="3:17" s="20" customFormat="1" ht="38.25" customHeight="1">
      <c r="C36" s="21"/>
      <c r="D36" s="21"/>
      <c r="E36" s="22"/>
      <c r="F36" s="21"/>
      <c r="G36" s="21"/>
      <c r="H36" s="21"/>
      <c r="I36" s="22"/>
      <c r="J36" s="21"/>
      <c r="K36" s="21"/>
      <c r="L36" s="21"/>
      <c r="M36" s="21"/>
      <c r="N36" s="21"/>
      <c r="O36" s="21"/>
      <c r="P36" s="21"/>
      <c r="Q36" s="22"/>
    </row>
    <row r="37" spans="3:17" s="27" customFormat="1" ht="12.75"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3:17" s="20" customFormat="1" ht="42" customHeight="1"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</row>
    <row r="39" spans="3:17" s="20" customFormat="1" ht="42" customHeight="1"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</row>
    <row r="40" s="24" customFormat="1" ht="12.75"/>
    <row r="41" s="24" customFormat="1" ht="12.75">
      <c r="Q41" s="30"/>
    </row>
    <row r="42" s="24" customFormat="1" ht="12.75">
      <c r="Q42" s="31"/>
    </row>
    <row r="43" spans="9:11" s="24" customFormat="1" ht="15">
      <c r="I43" s="32"/>
      <c r="K43" s="33"/>
    </row>
    <row r="56" ht="12.75">
      <c r="G56" s="1">
        <v>20</v>
      </c>
    </row>
    <row r="58" spans="6:8" ht="12.75">
      <c r="F58" s="1">
        <v>1</v>
      </c>
      <c r="G58" s="1">
        <v>20</v>
      </c>
      <c r="H58" s="1">
        <f aca="true" t="shared" si="9" ref="H58:H64">F58*$G$56</f>
        <v>20</v>
      </c>
    </row>
    <row r="59" spans="6:8" ht="12.75">
      <c r="F59" s="1">
        <v>2</v>
      </c>
      <c r="G59" s="1">
        <v>20</v>
      </c>
      <c r="H59" s="1">
        <f t="shared" si="9"/>
        <v>40</v>
      </c>
    </row>
    <row r="60" spans="6:8" ht="12.75">
      <c r="F60" s="1">
        <v>3</v>
      </c>
      <c r="G60" s="1">
        <v>30</v>
      </c>
      <c r="H60" s="1">
        <f t="shared" si="9"/>
        <v>60</v>
      </c>
    </row>
    <row r="61" spans="6:8" ht="12.75">
      <c r="F61" s="1">
        <v>4</v>
      </c>
      <c r="G61" s="1">
        <v>20</v>
      </c>
      <c r="H61" s="1">
        <f t="shared" si="9"/>
        <v>80</v>
      </c>
    </row>
    <row r="62" ht="12.75">
      <c r="H62" s="1">
        <f t="shared" si="9"/>
        <v>0</v>
      </c>
    </row>
    <row r="63" ht="12.75">
      <c r="H63" s="1">
        <f t="shared" si="9"/>
        <v>0</v>
      </c>
    </row>
    <row r="64" ht="12.75">
      <c r="H64" s="1">
        <f t="shared" si="9"/>
        <v>0</v>
      </c>
    </row>
  </sheetData>
  <sheetProtection/>
  <protectedRanges>
    <protectedRange sqref="A3:IV3" name="Диапазон1_1_1"/>
    <protectedRange sqref="B14 Q14 B13:Q13" name="Диапазон1_1_3"/>
    <protectedRange sqref="C6:O6" name="Диапазон1_1_4"/>
    <protectedRange sqref="P6" name="Диапазон1_1_5"/>
    <protectedRange sqref="C14:O14" name="Диапазон1_1_2"/>
  </protectedRanges>
  <printOptions/>
  <pageMargins left="0.1968503937007874" right="0.1968503937007874" top="0.15748031496062992" bottom="0.31496062992125984" header="0.15748031496062992" footer="0.31496062992125984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Y64"/>
  <sheetViews>
    <sheetView tabSelected="1" zoomScale="78" zoomScaleNormal="78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28" sqref="F28"/>
    </sheetView>
  </sheetViews>
  <sheetFormatPr defaultColWidth="9.00390625" defaultRowHeight="12.75"/>
  <cols>
    <col min="1" max="1" width="3.875" style="1" customWidth="1"/>
    <col min="2" max="2" width="38.25390625" style="1" customWidth="1"/>
    <col min="3" max="9" width="14.00390625" style="1" customWidth="1"/>
    <col min="10" max="10" width="15.625" style="1" customWidth="1"/>
    <col min="11" max="11" width="14.75390625" style="1" customWidth="1"/>
    <col min="12" max="12" width="17.00390625" style="1" customWidth="1"/>
    <col min="13" max="16" width="14.00390625" style="1" customWidth="1"/>
    <col min="17" max="17" width="16.75390625" style="1" customWidth="1"/>
    <col min="18" max="18" width="15.375" style="1" customWidth="1"/>
    <col min="19" max="19" width="16.625" style="1" customWidth="1"/>
    <col min="20" max="20" width="8.375" style="1" customWidth="1"/>
    <col min="21" max="16384" width="9.125" style="1" customWidth="1"/>
  </cols>
  <sheetData>
    <row r="1" ht="12.75">
      <c r="Q1" s="2"/>
    </row>
    <row r="2" spans="10:17" ht="15">
      <c r="J2" s="3"/>
      <c r="Q2" s="2"/>
    </row>
    <row r="3" spans="2:20" ht="18">
      <c r="B3" s="4" t="s">
        <v>32</v>
      </c>
      <c r="C3" s="5"/>
      <c r="D3" s="6"/>
      <c r="E3" s="5"/>
      <c r="F3" s="5"/>
      <c r="G3" s="5"/>
      <c r="H3" s="6"/>
      <c r="I3" s="5"/>
      <c r="J3" s="5"/>
      <c r="K3" s="5"/>
      <c r="L3" s="5"/>
      <c r="M3" s="5"/>
      <c r="N3" s="5"/>
      <c r="O3" s="5"/>
      <c r="P3" s="5"/>
      <c r="Q3" s="7"/>
      <c r="R3" s="8"/>
      <c r="S3" s="8"/>
      <c r="T3" s="8"/>
    </row>
    <row r="4" spans="2:24" ht="33.75" customHeight="1" thickBot="1">
      <c r="B4" s="9" t="s">
        <v>0</v>
      </c>
      <c r="C4" s="34" t="s">
        <v>3</v>
      </c>
      <c r="D4" s="34" t="s">
        <v>4</v>
      </c>
      <c r="E4" s="34" t="s">
        <v>5</v>
      </c>
      <c r="F4" s="34" t="s">
        <v>6</v>
      </c>
      <c r="G4" s="34" t="s">
        <v>7</v>
      </c>
      <c r="H4" s="34" t="s">
        <v>8</v>
      </c>
      <c r="I4" s="34" t="s">
        <v>9</v>
      </c>
      <c r="J4" s="34" t="s">
        <v>10</v>
      </c>
      <c r="K4" s="34" t="s">
        <v>11</v>
      </c>
      <c r="L4" s="34" t="s">
        <v>12</v>
      </c>
      <c r="M4" s="34" t="s">
        <v>13</v>
      </c>
      <c r="N4" s="34" t="s">
        <v>14</v>
      </c>
      <c r="O4" s="34" t="s">
        <v>15</v>
      </c>
      <c r="P4" s="34" t="s">
        <v>16</v>
      </c>
      <c r="Q4" s="10" t="s">
        <v>1</v>
      </c>
      <c r="R4" s="11"/>
      <c r="S4" s="11"/>
      <c r="T4" s="11"/>
      <c r="U4" s="12"/>
      <c r="V4" s="12"/>
      <c r="W4" s="12"/>
      <c r="X4" s="12"/>
    </row>
    <row r="5" spans="2:24" ht="30.75" customHeight="1">
      <c r="B5" s="85" t="s">
        <v>17</v>
      </c>
      <c r="C5" s="86">
        <v>134597</v>
      </c>
      <c r="D5" s="86">
        <v>436861</v>
      </c>
      <c r="E5" s="86">
        <v>751976</v>
      </c>
      <c r="F5" s="86">
        <v>387687</v>
      </c>
      <c r="G5" s="86">
        <v>284083</v>
      </c>
      <c r="H5" s="86">
        <v>464608</v>
      </c>
      <c r="I5" s="86">
        <v>247752</v>
      </c>
      <c r="J5" s="86">
        <v>7376090</v>
      </c>
      <c r="K5" s="86">
        <v>173755</v>
      </c>
      <c r="L5" s="86">
        <v>3998136</v>
      </c>
      <c r="M5" s="86">
        <v>2022814</v>
      </c>
      <c r="N5" s="86">
        <v>777499</v>
      </c>
      <c r="O5" s="86">
        <v>303021</v>
      </c>
      <c r="P5" s="86">
        <v>2712527</v>
      </c>
      <c r="Q5" s="87">
        <f>SUM(C5:P5)</f>
        <v>20071406</v>
      </c>
      <c r="R5" s="13"/>
      <c r="S5" s="13"/>
      <c r="T5" s="11"/>
      <c r="U5" s="12"/>
      <c r="V5" s="12"/>
      <c r="W5" s="12"/>
      <c r="X5" s="12"/>
    </row>
    <row r="6" spans="2:23" s="15" customFormat="1" ht="30.75" customHeight="1">
      <c r="B6" s="104" t="s">
        <v>29</v>
      </c>
      <c r="C6" s="105">
        <v>366</v>
      </c>
      <c r="D6" s="105">
        <v>1147</v>
      </c>
      <c r="E6" s="105">
        <v>1291</v>
      </c>
      <c r="F6" s="105">
        <v>1006</v>
      </c>
      <c r="G6" s="105">
        <v>332</v>
      </c>
      <c r="H6" s="105">
        <v>778</v>
      </c>
      <c r="I6" s="105">
        <v>331</v>
      </c>
      <c r="J6" s="105">
        <v>5654</v>
      </c>
      <c r="K6" s="105">
        <v>186</v>
      </c>
      <c r="L6" s="105">
        <v>1993</v>
      </c>
      <c r="M6" s="105">
        <v>1987</v>
      </c>
      <c r="N6" s="105">
        <v>1430</v>
      </c>
      <c r="O6" s="105">
        <v>499</v>
      </c>
      <c r="P6" s="106">
        <v>3496</v>
      </c>
      <c r="Q6" s="107">
        <f>SUM(C6:P6)</f>
        <v>20496</v>
      </c>
      <c r="R6" s="88"/>
      <c r="S6" s="88"/>
      <c r="T6" s="89"/>
      <c r="U6" s="90"/>
      <c r="V6" s="90"/>
      <c r="W6" s="90"/>
    </row>
    <row r="7" spans="2:23" ht="24" customHeight="1">
      <c r="B7" s="50" t="s">
        <v>18</v>
      </c>
      <c r="C7" s="51">
        <f>C5/C6</f>
        <v>367.75136612021856</v>
      </c>
      <c r="D7" s="51">
        <f>D5/D6</f>
        <v>380.87271142109853</v>
      </c>
      <c r="E7" s="51">
        <f>E5/E6</f>
        <v>582.4756003098373</v>
      </c>
      <c r="F7" s="51">
        <f>F5/F6</f>
        <v>385.3747514910537</v>
      </c>
      <c r="G7" s="51">
        <f aca="true" t="shared" si="0" ref="G7:O7">G5/G6</f>
        <v>855.6716867469879</v>
      </c>
      <c r="H7" s="51">
        <f>H5/H6</f>
        <v>597.1825192802056</v>
      </c>
      <c r="I7" s="51">
        <f t="shared" si="0"/>
        <v>748.4954682779456</v>
      </c>
      <c r="J7" s="51">
        <f>J5/J6</f>
        <v>1304.5790590732224</v>
      </c>
      <c r="K7" s="51">
        <f t="shared" si="0"/>
        <v>934.1666666666666</v>
      </c>
      <c r="L7" s="51">
        <f t="shared" si="0"/>
        <v>2006.0893125940793</v>
      </c>
      <c r="M7" s="51">
        <f t="shared" si="0"/>
        <v>1018.0241570206341</v>
      </c>
      <c r="N7" s="51">
        <f>N5/N6</f>
        <v>543.7055944055944</v>
      </c>
      <c r="O7" s="51">
        <f t="shared" si="0"/>
        <v>607.2565130260521</v>
      </c>
      <c r="P7" s="51">
        <f>P5/P6</f>
        <v>775.8944508009154</v>
      </c>
      <c r="Q7" s="52">
        <f>Q5/Q6</f>
        <v>979.2840554254489</v>
      </c>
      <c r="R7" s="47"/>
      <c r="S7" s="47"/>
      <c r="T7" s="48"/>
      <c r="U7" s="49"/>
      <c r="V7" s="49"/>
      <c r="W7" s="49"/>
    </row>
    <row r="8" spans="2:23" ht="24" customHeight="1">
      <c r="B8" s="50" t="s">
        <v>19</v>
      </c>
      <c r="C8" s="53">
        <f>C7/$Q$7</f>
        <v>0.37553084223397204</v>
      </c>
      <c r="D8" s="53">
        <f aca="true" t="shared" si="1" ref="D8:Q8">D7/$Q$7</f>
        <v>0.3889297587466885</v>
      </c>
      <c r="E8" s="53">
        <f t="shared" si="1"/>
        <v>0.5947973900757338</v>
      </c>
      <c r="F8" s="53">
        <f t="shared" si="1"/>
        <v>0.3935270357522854</v>
      </c>
      <c r="G8" s="53">
        <f t="shared" si="1"/>
        <v>0.8737727138580259</v>
      </c>
      <c r="H8" s="53">
        <f t="shared" si="1"/>
        <v>0.6098154217580519</v>
      </c>
      <c r="I8" s="53">
        <f>I7/$Q$7</f>
        <v>0.7643292710946494</v>
      </c>
      <c r="J8" s="53">
        <f t="shared" si="1"/>
        <v>1.3321763505139983</v>
      </c>
      <c r="K8" s="53">
        <f>K7/$Q$7</f>
        <v>0.9539281901825911</v>
      </c>
      <c r="L8" s="53">
        <f t="shared" si="1"/>
        <v>2.0485264734781534</v>
      </c>
      <c r="M8" s="53">
        <f t="shared" si="1"/>
        <v>1.0395596164162548</v>
      </c>
      <c r="N8" s="53">
        <f t="shared" si="1"/>
        <v>0.5552072367494865</v>
      </c>
      <c r="O8" s="53">
        <f t="shared" si="1"/>
        <v>0.6201025225129702</v>
      </c>
      <c r="P8" s="53">
        <f>P7/$Q$7</f>
        <v>0.792307856440927</v>
      </c>
      <c r="Q8" s="54">
        <f t="shared" si="1"/>
        <v>1</v>
      </c>
      <c r="R8" s="55"/>
      <c r="S8" s="47"/>
      <c r="T8" s="48"/>
      <c r="U8" s="49"/>
      <c r="V8" s="49"/>
      <c r="W8" s="49"/>
    </row>
    <row r="9" spans="2:23" s="76" customFormat="1" ht="24" customHeight="1">
      <c r="B9" s="108" t="s">
        <v>20</v>
      </c>
      <c r="C9" s="109">
        <v>1.911</v>
      </c>
      <c r="D9" s="109">
        <v>1.27</v>
      </c>
      <c r="E9" s="109">
        <v>0.91</v>
      </c>
      <c r="F9" s="109">
        <v>0.983</v>
      </c>
      <c r="G9" s="109">
        <v>2.356</v>
      </c>
      <c r="H9" s="109">
        <v>1.65</v>
      </c>
      <c r="I9" s="109">
        <v>2.733</v>
      </c>
      <c r="J9" s="109">
        <v>0.495</v>
      </c>
      <c r="K9" s="109">
        <v>2.92</v>
      </c>
      <c r="L9" s="109">
        <v>0.414</v>
      </c>
      <c r="M9" s="109">
        <v>0.961</v>
      </c>
      <c r="N9" s="109">
        <v>0.761</v>
      </c>
      <c r="O9" s="109">
        <v>2.144</v>
      </c>
      <c r="P9" s="109">
        <v>1.422</v>
      </c>
      <c r="Q9" s="93">
        <v>1</v>
      </c>
      <c r="R9" s="94"/>
      <c r="S9" s="14"/>
      <c r="T9" s="43"/>
      <c r="U9" s="43"/>
      <c r="V9" s="43"/>
      <c r="W9" s="43"/>
    </row>
    <row r="10" spans="2:23" ht="24" customHeight="1">
      <c r="B10" s="58" t="s">
        <v>21</v>
      </c>
      <c r="C10" s="59">
        <f>C8/C9</f>
        <v>0.19651012152484146</v>
      </c>
      <c r="D10" s="59">
        <f aca="true" t="shared" si="2" ref="D10:N10">D8/D9</f>
        <v>0.3062439045249516</v>
      </c>
      <c r="E10" s="59">
        <f>E8/E9</f>
        <v>0.6536235055777295</v>
      </c>
      <c r="F10" s="59">
        <f t="shared" si="2"/>
        <v>0.40033269150792006</v>
      </c>
      <c r="G10" s="59">
        <f t="shared" si="2"/>
        <v>0.37087127073770204</v>
      </c>
      <c r="H10" s="59">
        <f>H8/H9</f>
        <v>0.36958510409578904</v>
      </c>
      <c r="I10" s="59">
        <f t="shared" si="2"/>
        <v>0.27966676585973266</v>
      </c>
      <c r="J10" s="59">
        <f t="shared" si="2"/>
        <v>2.691265354573734</v>
      </c>
      <c r="K10" s="59">
        <f>K8/K9</f>
        <v>0.3266877363639011</v>
      </c>
      <c r="L10" s="59">
        <f t="shared" si="2"/>
        <v>4.9481315784496465</v>
      </c>
      <c r="M10" s="59">
        <f t="shared" si="2"/>
        <v>1.0817477798296096</v>
      </c>
      <c r="N10" s="59">
        <f t="shared" si="2"/>
        <v>0.7295758695788258</v>
      </c>
      <c r="O10" s="59">
        <f>O8/O9</f>
        <v>0.2892269228138853</v>
      </c>
      <c r="P10" s="59">
        <f>P8/P9</f>
        <v>0.5571785207038868</v>
      </c>
      <c r="Q10" s="79">
        <f>Q8/Q9</f>
        <v>1</v>
      </c>
      <c r="R10" s="56"/>
      <c r="S10" s="57"/>
      <c r="T10" s="49"/>
      <c r="U10" s="49"/>
      <c r="V10" s="49"/>
      <c r="W10" s="49"/>
    </row>
    <row r="11" spans="2:23" ht="24" customHeight="1">
      <c r="B11" s="60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80"/>
      <c r="R11" s="56"/>
      <c r="S11" s="57"/>
      <c r="T11" s="49"/>
      <c r="U11" s="49"/>
      <c r="V11" s="49"/>
      <c r="W11" s="49"/>
    </row>
    <row r="12" spans="2:23" ht="24" customHeight="1">
      <c r="B12" s="62" t="s">
        <v>27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81"/>
      <c r="R12" s="56"/>
      <c r="S12" s="57"/>
      <c r="T12" s="49"/>
      <c r="U12" s="49"/>
      <c r="V12" s="49"/>
      <c r="W12" s="49"/>
    </row>
    <row r="13" spans="2:23" ht="39" customHeight="1">
      <c r="B13" s="112" t="s">
        <v>26</v>
      </c>
      <c r="C13" s="113">
        <v>208.6</v>
      </c>
      <c r="D13" s="113">
        <v>208.6</v>
      </c>
      <c r="E13" s="113">
        <v>208.6</v>
      </c>
      <c r="F13" s="113">
        <v>208.6</v>
      </c>
      <c r="G13" s="113">
        <v>208.6</v>
      </c>
      <c r="H13" s="113">
        <v>208.6</v>
      </c>
      <c r="I13" s="113">
        <v>208.6</v>
      </c>
      <c r="J13" s="113">
        <v>208.6</v>
      </c>
      <c r="K13" s="113">
        <v>208.6</v>
      </c>
      <c r="L13" s="113">
        <v>208.6</v>
      </c>
      <c r="M13" s="113">
        <v>208.6</v>
      </c>
      <c r="N13" s="113">
        <v>208.6</v>
      </c>
      <c r="O13" s="113">
        <v>208.6</v>
      </c>
      <c r="P13" s="113">
        <v>208.6</v>
      </c>
      <c r="Q13" s="91"/>
      <c r="R13" s="56"/>
      <c r="S13" s="57"/>
      <c r="T13" s="49"/>
      <c r="U13" s="49"/>
      <c r="V13" s="49"/>
      <c r="W13" s="49"/>
    </row>
    <row r="14" spans="2:23" ht="24" customHeight="1">
      <c r="B14" s="71" t="s">
        <v>2</v>
      </c>
      <c r="C14" s="102">
        <f aca="true" t="shared" si="3" ref="C14:P14">ROUND(C13*C6,1)*0.8</f>
        <v>61078.08000000001</v>
      </c>
      <c r="D14" s="102">
        <f t="shared" si="3"/>
        <v>191411.36000000002</v>
      </c>
      <c r="E14" s="102">
        <f t="shared" si="3"/>
        <v>215442.08</v>
      </c>
      <c r="F14" s="102">
        <f t="shared" si="3"/>
        <v>167881.28000000003</v>
      </c>
      <c r="G14" s="102">
        <f t="shared" si="3"/>
        <v>55404.16</v>
      </c>
      <c r="H14" s="102">
        <f t="shared" si="3"/>
        <v>129832.64</v>
      </c>
      <c r="I14" s="102">
        <f t="shared" si="3"/>
        <v>55237.280000000006</v>
      </c>
      <c r="J14" s="102">
        <f t="shared" si="3"/>
        <v>943539.52</v>
      </c>
      <c r="K14" s="102">
        <f t="shared" si="3"/>
        <v>31039.68</v>
      </c>
      <c r="L14" s="103">
        <f t="shared" si="3"/>
        <v>332591.84</v>
      </c>
      <c r="M14" s="102">
        <f t="shared" si="3"/>
        <v>331590.56000000006</v>
      </c>
      <c r="N14" s="102">
        <f t="shared" si="3"/>
        <v>238638.40000000002</v>
      </c>
      <c r="O14" s="102">
        <f t="shared" si="3"/>
        <v>83273.12</v>
      </c>
      <c r="P14" s="102">
        <f t="shared" si="3"/>
        <v>583412.48</v>
      </c>
      <c r="Q14" s="92">
        <f>SUM(C14:P14)</f>
        <v>3420372.48</v>
      </c>
      <c r="R14" s="56"/>
      <c r="S14" s="57"/>
      <c r="T14" s="49"/>
      <c r="U14" s="49"/>
      <c r="V14" s="49"/>
      <c r="W14" s="49"/>
    </row>
    <row r="15" spans="2:23" ht="15" customHeight="1"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82"/>
      <c r="R15" s="56"/>
      <c r="S15" s="57"/>
      <c r="T15" s="49"/>
      <c r="U15" s="49"/>
      <c r="V15" s="49"/>
      <c r="W15" s="49"/>
    </row>
    <row r="16" spans="2:20" ht="27" customHeight="1">
      <c r="B16" s="62" t="s">
        <v>28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81"/>
      <c r="R16" s="14"/>
      <c r="S16" s="75"/>
      <c r="T16" s="76"/>
    </row>
    <row r="17" spans="2:25" ht="24" customHeight="1">
      <c r="B17" s="65" t="s">
        <v>22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83">
        <f>(Q5+S17)/Q5</f>
        <v>1</v>
      </c>
      <c r="R17" s="14"/>
      <c r="S17" s="72"/>
      <c r="T17" s="67"/>
      <c r="U17" s="49"/>
      <c r="V17" s="49"/>
      <c r="W17" s="49"/>
      <c r="X17" s="49"/>
      <c r="Y17" s="49"/>
    </row>
    <row r="18" spans="2:25" ht="39" customHeight="1">
      <c r="B18" s="68" t="s">
        <v>23</v>
      </c>
      <c r="C18" s="95">
        <f>IF(C10&lt;$Q$17,$Q$5/$Q$6*($Q$17-C10)*C9*C6,0)</f>
        <v>550339.7297499999</v>
      </c>
      <c r="D18" s="95">
        <f aca="true" t="shared" si="4" ref="D18:P18">IF(D10&lt;$Q$17,$Q$5/$Q$6*($Q$17-D10)*D9*D6,0)</f>
        <v>989652.2906976969</v>
      </c>
      <c r="E18" s="95">
        <f t="shared" si="4"/>
        <v>398496.70115437167</v>
      </c>
      <c r="F18" s="95">
        <f t="shared" si="4"/>
        <v>580725.0438421156</v>
      </c>
      <c r="G18" s="95">
        <f t="shared" si="4"/>
        <v>481905.1538813427</v>
      </c>
      <c r="H18" s="95">
        <f t="shared" si="4"/>
        <v>792498.9419496487</v>
      </c>
      <c r="I18" s="95">
        <f>IF(I10&lt;$Q$17,$Q$5/$Q$6*($Q$17-I10)*I9*I6,0)</f>
        <v>638130.8800711358</v>
      </c>
      <c r="J18" s="95">
        <f t="shared" si="4"/>
        <v>0</v>
      </c>
      <c r="K18" s="95">
        <f t="shared" si="4"/>
        <v>358113.7561826698</v>
      </c>
      <c r="L18" s="95">
        <f t="shared" si="4"/>
        <v>0</v>
      </c>
      <c r="M18" s="95">
        <f t="shared" si="4"/>
        <v>0</v>
      </c>
      <c r="N18" s="95">
        <f t="shared" si="4"/>
        <v>288187.2876356363</v>
      </c>
      <c r="O18" s="95">
        <f t="shared" si="4"/>
        <v>744671.9224012491</v>
      </c>
      <c r="P18" s="95">
        <f t="shared" si="4"/>
        <v>2155799.5761451987</v>
      </c>
      <c r="Q18" s="96">
        <f>SUM(C18:P18)</f>
        <v>7978521.2837110665</v>
      </c>
      <c r="R18" s="14"/>
      <c r="S18" s="77"/>
      <c r="T18" s="43"/>
      <c r="U18" s="49"/>
      <c r="V18" s="49"/>
      <c r="W18" s="49"/>
      <c r="X18" s="49"/>
      <c r="Y18" s="49"/>
    </row>
    <row r="19" spans="2:20" ht="39.75" customHeight="1">
      <c r="B19" s="69" t="s">
        <v>24</v>
      </c>
      <c r="C19" s="97">
        <f>C18</f>
        <v>550339.7297499999</v>
      </c>
      <c r="D19" s="97">
        <f>D18</f>
        <v>989652.2906976969</v>
      </c>
      <c r="E19" s="97">
        <f aca="true" t="shared" si="5" ref="E19:P19">E18</f>
        <v>398496.70115437167</v>
      </c>
      <c r="F19" s="97">
        <f t="shared" si="5"/>
        <v>580725.0438421156</v>
      </c>
      <c r="G19" s="97">
        <f t="shared" si="5"/>
        <v>481905.1538813427</v>
      </c>
      <c r="H19" s="97">
        <f t="shared" si="5"/>
        <v>792498.9419496487</v>
      </c>
      <c r="I19" s="97">
        <f t="shared" si="5"/>
        <v>638130.8800711358</v>
      </c>
      <c r="J19" s="97">
        <f t="shared" si="5"/>
        <v>0</v>
      </c>
      <c r="K19" s="97">
        <f t="shared" si="5"/>
        <v>358113.7561826698</v>
      </c>
      <c r="L19" s="97">
        <f>L18</f>
        <v>0</v>
      </c>
      <c r="M19" s="97">
        <f t="shared" si="5"/>
        <v>0</v>
      </c>
      <c r="N19" s="97">
        <f t="shared" si="5"/>
        <v>288187.2876356363</v>
      </c>
      <c r="O19" s="97">
        <f t="shared" si="5"/>
        <v>744671.9224012491</v>
      </c>
      <c r="P19" s="97">
        <f t="shared" si="5"/>
        <v>2155799.5761451987</v>
      </c>
      <c r="Q19" s="98">
        <f>SUM(C19:P19)</f>
        <v>7978521.2837110665</v>
      </c>
      <c r="R19" s="14"/>
      <c r="S19" s="78"/>
      <c r="T19" s="76"/>
    </row>
    <row r="20" spans="2:20" ht="29.25" customHeight="1">
      <c r="B20" s="69" t="s">
        <v>2</v>
      </c>
      <c r="C20" s="99">
        <f aca="true" t="shared" si="6" ref="C20:L20">ROUND(C19,1)</f>
        <v>550339.7</v>
      </c>
      <c r="D20" s="99">
        <f t="shared" si="6"/>
        <v>989652.3</v>
      </c>
      <c r="E20" s="99">
        <f>ROUND(E19,1)</f>
        <v>398496.7</v>
      </c>
      <c r="F20" s="99">
        <f t="shared" si="6"/>
        <v>580725</v>
      </c>
      <c r="G20" s="99">
        <f t="shared" si="6"/>
        <v>481905.2</v>
      </c>
      <c r="H20" s="99">
        <f t="shared" si="6"/>
        <v>792498.9</v>
      </c>
      <c r="I20" s="99">
        <f t="shared" si="6"/>
        <v>638130.9</v>
      </c>
      <c r="J20" s="99">
        <f t="shared" si="6"/>
        <v>0</v>
      </c>
      <c r="K20" s="99">
        <f t="shared" si="6"/>
        <v>358113.8</v>
      </c>
      <c r="L20" s="99">
        <f t="shared" si="6"/>
        <v>0</v>
      </c>
      <c r="M20" s="99">
        <f>ROUND(M19,1)</f>
        <v>0</v>
      </c>
      <c r="N20" s="99">
        <f>ROUND(N19,1)</f>
        <v>288187.3</v>
      </c>
      <c r="O20" s="99">
        <f>ROUND(O19,1)</f>
        <v>744671.9</v>
      </c>
      <c r="P20" s="99">
        <f>ROUND(P19,1)</f>
        <v>2155799.6</v>
      </c>
      <c r="Q20" s="100">
        <f>SUM(C20:P20)</f>
        <v>7978521.300000001</v>
      </c>
      <c r="R20" s="14"/>
      <c r="S20" s="45"/>
      <c r="T20" s="64"/>
    </row>
    <row r="21" spans="2:20" s="15" customFormat="1" ht="29.25" customHeight="1">
      <c r="B21" s="70" t="s">
        <v>25</v>
      </c>
      <c r="C21" s="59">
        <f>((C5+C20)/C6)/($Q$5/$Q$6)/C9</f>
        <v>0.9999999565653311</v>
      </c>
      <c r="D21" s="59">
        <f aca="true" t="shared" si="7" ref="D21:P21">((D5+D20)/D6)/($Q$5/$Q$6)/D9</f>
        <v>1.0000000065210068</v>
      </c>
      <c r="E21" s="59">
        <f t="shared" si="7"/>
        <v>0.999999998996611</v>
      </c>
      <c r="F21" s="59">
        <f t="shared" si="7"/>
        <v>0.9999999547278291</v>
      </c>
      <c r="G21" s="59">
        <f t="shared" si="7"/>
        <v>1.0000000602080554</v>
      </c>
      <c r="H21" s="59">
        <f t="shared" si="7"/>
        <v>0.999999966630008</v>
      </c>
      <c r="I21" s="59">
        <f t="shared" si="7"/>
        <v>1.0000000224960484</v>
      </c>
      <c r="J21" s="59">
        <f t="shared" si="7"/>
        <v>2.691265354573734</v>
      </c>
      <c r="K21" s="59">
        <f t="shared" si="7"/>
        <v>1.0000000823837267</v>
      </c>
      <c r="L21" s="59">
        <f t="shared" si="7"/>
        <v>4.9481315784496465</v>
      </c>
      <c r="M21" s="59">
        <f t="shared" si="7"/>
        <v>1.0817477798296096</v>
      </c>
      <c r="N21" s="59">
        <f t="shared" si="7"/>
        <v>1.000000011602255</v>
      </c>
      <c r="O21" s="59">
        <f t="shared" si="7"/>
        <v>0.9999999786184973</v>
      </c>
      <c r="P21" s="59">
        <f t="shared" si="7"/>
        <v>1.0000000049000002</v>
      </c>
      <c r="Q21" s="84"/>
      <c r="R21" s="44"/>
      <c r="S21" s="46"/>
      <c r="T21" s="44"/>
    </row>
    <row r="22" spans="2:20" s="15" customFormat="1" ht="29.25" customHeight="1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44"/>
      <c r="S22" s="46"/>
      <c r="T22" s="44"/>
    </row>
    <row r="23" spans="3:19" s="15" customFormat="1" ht="29.25" customHeight="1" hidden="1">
      <c r="C23" s="41">
        <f>IF(C10&lt;$Q$17,$Q$5/$Q$6*($Q$17-C10)*C9*C6,0)</f>
        <v>550339.7297499999</v>
      </c>
      <c r="D23" s="41">
        <f aca="true" t="shared" si="8" ref="D23:P23">IF(D10&lt;$Q$17,$Q$5/$Q$6*($Q$17-D10)*D9*D6,0)</f>
        <v>989652.2906976969</v>
      </c>
      <c r="E23" s="41">
        <f t="shared" si="8"/>
        <v>398496.70115437167</v>
      </c>
      <c r="F23" s="41">
        <f t="shared" si="8"/>
        <v>580725.0438421156</v>
      </c>
      <c r="G23" s="41">
        <f t="shared" si="8"/>
        <v>481905.1538813427</v>
      </c>
      <c r="H23" s="41">
        <f t="shared" si="8"/>
        <v>792498.9419496487</v>
      </c>
      <c r="I23" s="41">
        <f t="shared" si="8"/>
        <v>638130.8800711358</v>
      </c>
      <c r="J23" s="41">
        <f t="shared" si="8"/>
        <v>0</v>
      </c>
      <c r="K23" s="41">
        <f t="shared" si="8"/>
        <v>358113.7561826698</v>
      </c>
      <c r="L23" s="41">
        <f t="shared" si="8"/>
        <v>0</v>
      </c>
      <c r="M23" s="41">
        <f t="shared" si="8"/>
        <v>0</v>
      </c>
      <c r="N23" s="41">
        <f t="shared" si="8"/>
        <v>288187.2876356363</v>
      </c>
      <c r="O23" s="41">
        <f t="shared" si="8"/>
        <v>744671.9224012491</v>
      </c>
      <c r="P23" s="41">
        <f t="shared" si="8"/>
        <v>2155799.5761451987</v>
      </c>
      <c r="Q23" s="41">
        <f>SUM(C23:P23)</f>
        <v>7978521.2837110665</v>
      </c>
      <c r="S23" s="42"/>
    </row>
    <row r="24" spans="2:17" s="23" customFormat="1" ht="42" customHeight="1" hidden="1">
      <c r="B24" s="18"/>
      <c r="C24" s="35">
        <f>Q5/Q6*(Q17-C10)*C9*C6</f>
        <v>550339.7297499999</v>
      </c>
      <c r="D24" s="19">
        <f>Q5/Q6*(Q17-D10)*D9*D6</f>
        <v>989652.2906976969</v>
      </c>
      <c r="E24" s="19">
        <f>Q5/Q6*(1-E10)*E9*E6</f>
        <v>398496.70115437167</v>
      </c>
      <c r="F24" s="19">
        <f>Q5/Q6*(1-F10)*F9*F6</f>
        <v>580725.0438421156</v>
      </c>
      <c r="G24" s="35">
        <f>Q5/Q6*(1-G10)*G9*G6</f>
        <v>481905.1538813427</v>
      </c>
      <c r="H24" s="19">
        <f>Q5/Q6*(1-H10)*H9*H6</f>
        <v>792498.9419496487</v>
      </c>
      <c r="I24" s="35">
        <f>Q5/Q6*(1-I10)*I9*I6</f>
        <v>638130.8800711358</v>
      </c>
      <c r="J24" s="19"/>
      <c r="K24" s="19"/>
      <c r="L24" s="19"/>
      <c r="M24" s="19"/>
      <c r="N24" s="19"/>
      <c r="O24" s="19"/>
      <c r="P24" s="19"/>
      <c r="Q24" s="41"/>
    </row>
    <row r="25" spans="3:17" s="24" customFormat="1" ht="12.75" hidden="1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41">
        <f>SUM(C25:P25)</f>
        <v>0</v>
      </c>
    </row>
    <row r="26" spans="2:17" s="20" customFormat="1" ht="40.5" customHeight="1" hidden="1">
      <c r="B26" s="37"/>
      <c r="C26" s="26">
        <f>ROUND(C23,1)</f>
        <v>550339.7</v>
      </c>
      <c r="D26" s="26">
        <f aca="true" t="shared" si="9" ref="D26:P26">ROUND(D23,1)</f>
        <v>989652.3</v>
      </c>
      <c r="E26" s="26">
        <f t="shared" si="9"/>
        <v>398496.7</v>
      </c>
      <c r="F26" s="26">
        <f t="shared" si="9"/>
        <v>580725</v>
      </c>
      <c r="G26" s="26">
        <f t="shared" si="9"/>
        <v>481905.2</v>
      </c>
      <c r="H26" s="26">
        <f t="shared" si="9"/>
        <v>792498.9</v>
      </c>
      <c r="I26" s="26">
        <f t="shared" si="9"/>
        <v>638130.9</v>
      </c>
      <c r="J26" s="26">
        <f t="shared" si="9"/>
        <v>0</v>
      </c>
      <c r="K26" s="26">
        <f t="shared" si="9"/>
        <v>358113.8</v>
      </c>
      <c r="L26" s="26">
        <f t="shared" si="9"/>
        <v>0</v>
      </c>
      <c r="M26" s="26">
        <f t="shared" si="9"/>
        <v>0</v>
      </c>
      <c r="N26" s="26">
        <f t="shared" si="9"/>
        <v>288187.3</v>
      </c>
      <c r="O26" s="26">
        <f t="shared" si="9"/>
        <v>744671.9</v>
      </c>
      <c r="P26" s="26">
        <f t="shared" si="9"/>
        <v>2155799.6</v>
      </c>
      <c r="Q26" s="41">
        <f>SUM(C26:P26)</f>
        <v>7978521.300000001</v>
      </c>
    </row>
    <row r="27" spans="3:17" s="27" customFormat="1" ht="43.5" customHeight="1">
      <c r="C27" s="39"/>
      <c r="D27" s="28"/>
      <c r="E27" s="39"/>
      <c r="F27" s="39"/>
      <c r="G27" s="40"/>
      <c r="H27" s="28"/>
      <c r="I27" s="28"/>
      <c r="J27" s="28"/>
      <c r="K27" s="28"/>
      <c r="L27" s="28"/>
      <c r="M27" s="28"/>
      <c r="N27" s="28"/>
      <c r="O27" s="28"/>
      <c r="P27" s="28"/>
      <c r="Q27" s="101">
        <f>Q14+Q20</f>
        <v>11398893.780000001</v>
      </c>
    </row>
    <row r="28" spans="3:17" s="20" customFormat="1" ht="38.25" customHeight="1">
      <c r="C28" s="22"/>
      <c r="D28" s="21"/>
      <c r="E28" s="22"/>
      <c r="F28" s="21"/>
      <c r="G28" s="22"/>
      <c r="H28" s="21"/>
      <c r="I28" s="22"/>
      <c r="J28" s="21"/>
      <c r="K28" s="21"/>
      <c r="L28" s="21"/>
      <c r="M28" s="21"/>
      <c r="N28" s="21"/>
      <c r="O28" s="21"/>
      <c r="P28" s="21"/>
      <c r="Q28" s="22"/>
    </row>
    <row r="29" spans="3:17" s="20" customFormat="1" ht="38.25" customHeight="1">
      <c r="C29" s="22"/>
      <c r="D29" s="21"/>
      <c r="E29" s="22"/>
      <c r="F29" s="21"/>
      <c r="G29" s="22"/>
      <c r="H29" s="21"/>
      <c r="I29" s="22"/>
      <c r="J29" s="21"/>
      <c r="K29" s="21"/>
      <c r="L29" s="21"/>
      <c r="M29" s="21"/>
      <c r="N29" s="21"/>
      <c r="O29" s="21"/>
      <c r="P29" s="21"/>
      <c r="Q29" s="22"/>
    </row>
    <row r="30" spans="2:17" s="27" customFormat="1" ht="15.75">
      <c r="B30" s="36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</row>
    <row r="31" spans="2:17" s="20" customFormat="1" ht="34.5" customHeight="1">
      <c r="B31" s="37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3:17" s="27" customFormat="1" ht="15.75">
      <c r="C32" s="28"/>
      <c r="D32" s="28"/>
      <c r="E32" s="28"/>
      <c r="F32" s="28"/>
      <c r="G32" s="28"/>
      <c r="H32" s="28"/>
      <c r="I32" s="22"/>
      <c r="J32" s="28"/>
      <c r="K32" s="28"/>
      <c r="L32" s="28"/>
      <c r="M32" s="28"/>
      <c r="N32" s="28"/>
      <c r="O32" s="28"/>
      <c r="P32" s="28"/>
      <c r="Q32" s="28"/>
    </row>
    <row r="33" spans="3:17" s="20" customFormat="1" ht="34.5" customHeight="1">
      <c r="C33" s="22"/>
      <c r="D33" s="22"/>
      <c r="E33" s="22"/>
      <c r="F33" s="22"/>
      <c r="G33" s="22"/>
      <c r="H33" s="22"/>
      <c r="I33" s="22"/>
      <c r="J33" s="38"/>
      <c r="K33" s="22"/>
      <c r="L33" s="22"/>
      <c r="M33" s="22"/>
      <c r="N33" s="22"/>
      <c r="O33" s="22"/>
      <c r="P33" s="22"/>
      <c r="Q33" s="22"/>
    </row>
    <row r="34" spans="3:17" s="27" customFormat="1" ht="27.75" customHeight="1">
      <c r="C34" s="28"/>
      <c r="D34" s="28"/>
      <c r="E34" s="28"/>
      <c r="F34" s="28"/>
      <c r="G34" s="28"/>
      <c r="H34" s="28"/>
      <c r="I34" s="21"/>
      <c r="J34" s="28"/>
      <c r="K34" s="28"/>
      <c r="L34" s="28"/>
      <c r="M34" s="28"/>
      <c r="N34" s="28"/>
      <c r="O34" s="28"/>
      <c r="P34" s="28"/>
      <c r="Q34" s="28"/>
    </row>
    <row r="35" spans="3:17" s="27" customFormat="1" ht="27.75" customHeight="1">
      <c r="C35" s="28"/>
      <c r="D35" s="28"/>
      <c r="E35" s="28"/>
      <c r="F35" s="28"/>
      <c r="G35" s="28"/>
      <c r="H35" s="28"/>
      <c r="I35" s="22"/>
      <c r="J35" s="28"/>
      <c r="K35" s="28"/>
      <c r="L35" s="28"/>
      <c r="M35" s="28"/>
      <c r="N35" s="28"/>
      <c r="O35" s="28"/>
      <c r="P35" s="28"/>
      <c r="Q35" s="28"/>
    </row>
    <row r="36" spans="3:17" s="20" customFormat="1" ht="38.25" customHeight="1">
      <c r="C36" s="21"/>
      <c r="D36" s="21"/>
      <c r="E36" s="22"/>
      <c r="F36" s="21"/>
      <c r="G36" s="21"/>
      <c r="H36" s="21"/>
      <c r="I36" s="22"/>
      <c r="J36" s="21"/>
      <c r="K36" s="21"/>
      <c r="L36" s="21"/>
      <c r="M36" s="21"/>
      <c r="N36" s="21"/>
      <c r="O36" s="21"/>
      <c r="P36" s="21"/>
      <c r="Q36" s="22"/>
    </row>
    <row r="37" spans="3:17" s="27" customFormat="1" ht="12.75"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3:17" s="20" customFormat="1" ht="42" customHeight="1"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</row>
    <row r="39" spans="3:17" s="20" customFormat="1" ht="42" customHeight="1"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</row>
    <row r="40" s="24" customFormat="1" ht="12.75"/>
    <row r="41" s="24" customFormat="1" ht="12.75">
      <c r="Q41" s="30"/>
    </row>
    <row r="42" s="24" customFormat="1" ht="12.75">
      <c r="Q42" s="31"/>
    </row>
    <row r="43" spans="9:11" s="24" customFormat="1" ht="15">
      <c r="I43" s="32"/>
      <c r="K43" s="33"/>
    </row>
    <row r="56" ht="12.75">
      <c r="G56" s="1">
        <v>20</v>
      </c>
    </row>
    <row r="58" spans="6:8" ht="12.75">
      <c r="F58" s="1">
        <v>1</v>
      </c>
      <c r="G58" s="1">
        <v>20</v>
      </c>
      <c r="H58" s="1">
        <f aca="true" t="shared" si="10" ref="H58:H64">F58*$G$56</f>
        <v>20</v>
      </c>
    </row>
    <row r="59" spans="6:8" ht="12.75">
      <c r="F59" s="1">
        <v>2</v>
      </c>
      <c r="G59" s="1">
        <v>20</v>
      </c>
      <c r="H59" s="1">
        <f t="shared" si="10"/>
        <v>40</v>
      </c>
    </row>
    <row r="60" spans="6:8" ht="12.75">
      <c r="F60" s="1">
        <v>3</v>
      </c>
      <c r="G60" s="1">
        <v>30</v>
      </c>
      <c r="H60" s="1">
        <f t="shared" si="10"/>
        <v>60</v>
      </c>
    </row>
    <row r="61" spans="6:8" ht="12.75">
      <c r="F61" s="1">
        <v>4</v>
      </c>
      <c r="G61" s="1">
        <v>20</v>
      </c>
      <c r="H61" s="1">
        <f t="shared" si="10"/>
        <v>80</v>
      </c>
    </row>
    <row r="62" ht="12.75">
      <c r="H62" s="1">
        <f t="shared" si="10"/>
        <v>0</v>
      </c>
    </row>
    <row r="63" ht="12.75">
      <c r="H63" s="1">
        <f t="shared" si="10"/>
        <v>0</v>
      </c>
    </row>
    <row r="64" ht="12.75">
      <c r="H64" s="1">
        <f t="shared" si="10"/>
        <v>0</v>
      </c>
    </row>
  </sheetData>
  <sheetProtection/>
  <protectedRanges>
    <protectedRange sqref="A3:IV3" name="Диапазон1_1_1"/>
    <protectedRange sqref="B14 Q14 B13:Q13" name="Диапазон1_1_3"/>
    <protectedRange sqref="C6:O6" name="Диапазон1_1_4"/>
    <protectedRange sqref="P6" name="Диапазон1_1_5"/>
    <protectedRange sqref="C14:O14" name="Диапазон1_1_2"/>
  </protectedRanges>
  <printOptions/>
  <pageMargins left="0.1968503937007874" right="0.1968503937007874" top="0.15748031496062992" bottom="0.31496062992125984" header="0.15748031496062992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Суровцева Т.В.</dc:creator>
  <cp:keywords/>
  <dc:description/>
  <cp:lastModifiedBy>Ольга Балашова</cp:lastModifiedBy>
  <cp:lastPrinted>2021-11-15T08:35:35Z</cp:lastPrinted>
  <dcterms:created xsi:type="dcterms:W3CDTF">2005-09-10T09:08:30Z</dcterms:created>
  <dcterms:modified xsi:type="dcterms:W3CDTF">2021-11-15T08:35:44Z</dcterms:modified>
  <cp:category/>
  <cp:version/>
  <cp:contentType/>
  <cp:contentStatus/>
</cp:coreProperties>
</file>